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dc67316edc4147" /></Relationships>
</file>

<file path=xl/workbook.xml><?xml version="1.0" encoding="utf-8"?>
<x:workbook xmlns:x="http://schemas.openxmlformats.org/spreadsheetml/2006/main">
  <x:sheets>
    <x:sheet xmlns:r="http://schemas.openxmlformats.org/officeDocument/2006/relationships" name="Summary" sheetId="1" r:id="Rc9a82f281b624416"/>
    <x:sheet xmlns:r="http://schemas.openxmlformats.org/officeDocument/2006/relationships" name="Change log" sheetId="2" r:id="R1d9ccab8cc7d4b14"/>
    <x:sheet xmlns:r="http://schemas.openxmlformats.org/officeDocument/2006/relationships" name="Method and coverage" sheetId="3" r:id="R0a4f86dced4b4e6e"/>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dd mmm yyyy"/>
    <x:numFmt numFmtId="201" formatCode="0"/>
    <x:numFmt numFmtId="202" formatCode="mmm yyyy"/>
    <x:numFmt numFmtId="203" formatCode="dd mmm yyyy&quot; | stated&quot;"/>
    <x:numFmt numFmtId="204" formatCode="dd mmm yyyy&quot; | report&quot;"/>
    <x:numFmt numFmtId="205" formatCode="dd mmm yyyy&quot; | ann.&quot;"/>
    <x:numFmt numFmtId="206" formatCode="d mmm yyyy"/>
    <x:numFmt numFmtId="207" formatCode="d mmm yyyy&quot; | ann.&quot;"/>
    <x:numFmt numFmtId="208" formatCode="d mmm yyyy&quot; | stated&quot;"/>
    <x:numFmt numFmtId="209" formatCode="dd mmm yyyy &quot;| report&quot;"/>
    <x:numFmt numFmtId="210" formatCode="dd mmm yyyy &quot;| ann.&quot;"/>
  </x:numFmts>
  <x:fonts count="13">
    <x:font>
      <x:sz val="11"/>
      <x:name val="Carlito"/>
    </x:font>
    <x:font>
      <x:sz val="11"/>
      <x:color rgb="FF182D42"/>
      <x:name val="Arial"/>
    </x:font>
    <x:font>
      <x:b/>
      <x:sz val="17"/>
      <x:color rgb="FF17324D"/>
      <x:name val="Arial"/>
    </x:font>
    <x:font>
      <x:sz val="11"/>
      <x:color rgb="FF536475"/>
      <x:name val="Arial"/>
    </x:font>
    <x:font>
      <x:i/>
      <x:sz val="11"/>
      <x:color rgb="FF536475"/>
      <x:name val="Arial"/>
    </x:font>
    <x:font>
      <x:b/>
      <x:sz val="11"/>
      <x:color rgb="FFFFFFFF"/>
      <x:name val="Arial"/>
    </x:font>
    <x:font>
      <x:b/>
      <x:sz val="11"/>
      <x:color rgb="FF182D42"/>
      <x:name val="Arial"/>
    </x:font>
    <x:font>
      <x:sz val="10"/>
      <x:color rgb="FF536475"/>
      <x:name val="Arial"/>
    </x:font>
    <x:font>
      <x:sz val="11"/>
      <x:color rgb="FF1667A2"/>
      <x:name val="Arial"/>
    </x:font>
    <x:font>
      <x:b/>
      <x:sz val="11"/>
      <x:color rgb="FF17324D"/>
      <x:name val="Arial"/>
    </x:font>
    <x:font>
      <x:b/>
      <x:sz val="18"/>
      <x:color rgb="FF17324D"/>
      <x:name val="Arial"/>
    </x:font>
    <x:font>
      <x:b/>
      <x:sz val="22"/>
      <x:color rgb="FF17324D"/>
      <x:name val="Arial"/>
    </x:font>
    <x:font>
      <x:sz val="10"/>
      <x:color rgb="FF1667A2"/>
      <x:name val="Arial"/>
    </x:font>
  </x:fonts>
  <x:fills count="6">
    <x:fill>
      <x:patternFill patternType="none"/>
    </x:fill>
    <x:fill>
      <x:patternFill patternType="gray125"/>
    </x:fill>
    <x:fill>
      <x:patternFill patternType="solid">
        <x:fgColor rgb="FF17324D"/>
      </x:patternFill>
    </x:fill>
    <x:fill>
      <x:patternFill patternType="solid">
        <x:fgColor rgb="FFEFF4F8"/>
      </x:patternFill>
    </x:fill>
    <x:fill>
      <x:patternFill patternType="solid">
        <x:fgColor rgb="FFFFFFFF"/>
      </x:patternFill>
    </x:fill>
    <x:fill>
      <x:patternFill patternType="solid">
        <x:fgColor rgb="FFE4F0EE"/>
      </x:patternFill>
    </x:fill>
  </x:fills>
  <x:borders count="5">
    <x:border>
      <x:left/>
      <x:right/>
      <x:top/>
      <x:bottom/>
      <x:diagonal/>
    </x:border>
    <x:border>
      <x:left/>
      <x:right/>
      <x:top/>
      <x:bottom style="thin">
        <x:color rgb="FFCED9E2"/>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8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2" xfId="0" applyNumberFormat="1" applyFont="1" applyFill="1" applyBorder="1" applyAlignment="1">
      <x:alignment vertical="center"/>
    </x:xf>
    <x:xf numFmtId="0" fontId="5" fillId="2" borderId="3" xfId="0" applyNumberFormat="1" applyFont="1" applyFill="1" applyBorder="1" applyAlignment="1">
      <x:alignment vertical="center"/>
    </x:xf>
    <x:xf numFmtId="0" fontId="5" fillId="2" borderId="4" xfId="0" applyNumberFormat="1" applyFont="1" applyFill="1" applyBorder="1" applyAlignment="1">
      <x:alignment vertical="center"/>
    </x:xf>
    <x:xf numFmtId="0" fontId="5" fillId="2" borderId="2" xfId="0" applyNumberFormat="1" applyFont="1" applyFill="1" applyBorder="1" applyAlignment="1">
      <x:alignment vertical="center" wrapText="1"/>
    </x:xf>
    <x:xf numFmtId="0" fontId="5" fillId="2" borderId="3" xfId="0" applyNumberFormat="1" applyFont="1" applyFill="1" applyBorder="1" applyAlignment="1">
      <x:alignment vertical="center" wrapText="1"/>
    </x:xf>
    <x:xf numFmtId="0" fontId="5" fillId="2" borderId="4" xfId="0" applyNumberFormat="1" applyFont="1" applyFill="1" applyBorder="1" applyAlignment="1">
      <x:alignment vertical="center" wrapText="1"/>
    </x:xf>
    <x:xf numFmtId="0" fontId="5" fillId="2" borderId="2" xfId="0" applyNumberFormat="1" applyFont="1" applyFill="1" applyBorder="1" applyAlignment="1">
      <x:alignment horizontal="center" vertical="center" wrapText="1"/>
    </x:xf>
    <x:xf numFmtId="0" fontId="5" fillId="2" borderId="3" xfId="0" applyNumberFormat="1" applyFont="1" applyFill="1" applyBorder="1" applyAlignment="1">
      <x:alignment horizontal="center" vertical="center" wrapText="1"/>
    </x:xf>
    <x:xf numFmtId="0" fontId="5" fillId="2" borderId="4"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0" fontId="1" fillId="0" borderId="0" xfId="0" applyNumberFormat="1" applyFont="1" applyFill="1" applyBorder="1" applyAlignment="1">
      <x:alignment horizontal="right" vertical="top" wrapText="1"/>
    </x:xf>
    <x:xf numFmtId="0" fontId="1" fillId="0" borderId="0" xfId="0" applyNumberFormat="1" applyFont="1" applyFill="1" applyBorder="1" applyAlignment="1">
      <x:alignment horizontal="center" vertical="top" wrapText="1"/>
    </x:xf>
    <x:xf numFmtId="0" fontId="6" fillId="0" borderId="0" xfId="0" applyNumberFormat="1" applyFont="1" applyFill="1" applyBorder="1" applyAlignment="1">
      <x:alignment horizontal="center" vertical="top" wrapText="1"/>
    </x:xf>
    <x:xf numFmtId="0" fontId="7"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1" fillId="0" borderId="1" xfId="0" applyNumberFormat="1" applyFont="1" applyFill="1" applyBorder="1" applyAlignment="1">
      <x:alignment vertical="top"/>
    </x:xf>
    <x:xf numFmtId="0" fontId="9" fillId="0" borderId="0" xfId="0" applyNumberFormat="1" applyFont="1" applyFill="1" applyBorder="1" applyAlignment="1">
      <x:alignment vertical="top"/>
    </x:xf>
    <x:xf numFmtId="0" fontId="1"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10" fillId="0" borderId="0" xfId="0" applyNumberFormat="1" applyFont="1" applyFill="1" applyBorder="1" applyAlignment="1">
      <x:alignment vertical="top"/>
    </x:xf>
    <x:xf numFmtId="0" fontId="11" fillId="0" borderId="0" xfId="0" applyNumberFormat="1" applyFont="1" applyFill="1" applyBorder="1" applyAlignment="1">
      <x:alignment vertical="top"/>
    </x:xf>
    <x:xf numFmtId="0" fontId="11" fillId="0" borderId="0" xfId="0" applyNumberFormat="1" applyFont="1" applyFill="1" applyBorder="1" applyAlignment="1">
      <x:alignment horizontal="left" vertical="top"/>
    </x:xf>
    <x:xf numFmtId="201" fontId="11" fillId="0" borderId="0" xfId="0" applyNumberFormat="1" applyFont="1" applyFill="1" applyBorder="1" applyAlignment="1">
      <x:alignment horizontal="left" vertical="top"/>
    </x:xf>
    <x:xf numFmtId="0" fontId="1" fillId="3" borderId="0" xfId="0" applyNumberFormat="1" applyFont="1" applyFill="1" applyBorder="1" applyAlignment="1">
      <x:alignment vertical="top"/>
    </x:xf>
    <x:xf numFmtId="0" fontId="3" fillId="3" borderId="0" xfId="0" applyNumberFormat="1" applyFont="1" applyFill="1" applyBorder="1" applyAlignment="1">
      <x:alignment vertical="top"/>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vertical="center" wrapText="1"/>
    </x:xf>
    <x:xf numFmtId="0" fontId="5" fillId="2" borderId="0" xfId="0" applyNumberFormat="1" applyFont="1" applyFill="1" applyBorder="1" applyAlignment="1">
      <x:alignment vertical="top" wrapText="1"/>
    </x:xf>
    <x:xf numFmtId="0" fontId="5" fillId="2" borderId="0" xfId="0" applyNumberFormat="1" applyFont="1" applyFill="1" applyBorder="1" applyAlignment="1">
      <x:alignment vertical="center" wrapText="1"/>
    </x:xf>
    <x:xf numFmtId="202" fontId="1" fillId="0" borderId="0" xfId="0" applyNumberFormat="1" applyFont="1" applyFill="1" applyBorder="1" applyAlignment="1">
      <x:alignment vertical="top"/>
    </x:xf>
    <x:xf numFmtId="202" fontId="1" fillId="3" borderId="0" xfId="0" applyNumberFormat="1" applyFont="1" applyFill="1" applyBorder="1" applyAlignment="1">
      <x:alignment vertical="top"/>
    </x:xf>
    <x:xf numFmtId="202" fontId="1" fillId="4" borderId="0" xfId="0" applyNumberFormat="1" applyFont="1" applyFill="1" applyBorder="1" applyAlignment="1">
      <x:alignment vertical="top"/>
    </x:xf>
    <x:xf numFmtId="0" fontId="1" fillId="4" borderId="0" xfId="0" applyNumberFormat="1" applyFont="1" applyFill="1" applyBorder="1" applyAlignment="1">
      <x:alignment vertical="top"/>
    </x:xf>
    <x:xf numFmtId="202" fontId="1" fillId="3" borderId="0" xfId="0" applyNumberFormat="1" applyFont="1" applyFill="1" applyBorder="1" applyAlignment="1">
      <x:alignment horizontal="left" vertical="top"/>
    </x:xf>
    <x:xf numFmtId="202" fontId="1" fillId="4" borderId="0" xfId="0" applyNumberFormat="1" applyFont="1" applyFill="1" applyBorder="1" applyAlignment="1">
      <x:alignment horizontal="left" vertical="top"/>
    </x:xf>
    <x:xf numFmtId="0" fontId="1" fillId="3" borderId="0" xfId="0" applyNumberFormat="1" applyFont="1" applyFill="1" applyBorder="1" applyAlignment="1">
      <x:alignment horizontal="center" vertical="top"/>
    </x:xf>
    <x:xf numFmtId="0" fontId="1" fillId="4" borderId="0" xfId="0" applyNumberFormat="1" applyFont="1" applyFill="1" applyBorder="1" applyAlignment="1">
      <x:alignment horizontal="center" vertical="top"/>
    </x:xf>
    <x:xf numFmtId="0" fontId="1" fillId="5" borderId="0" xfId="0" applyNumberFormat="1" applyFont="1" applyFill="1" applyBorder="1" applyAlignment="1">
      <x:alignment vertical="top"/>
    </x:xf>
    <x:xf numFmtId="0" fontId="9" fillId="5" borderId="0" xfId="0" applyNumberFormat="1" applyFont="1" applyFill="1" applyBorder="1" applyAlignment="1">
      <x:alignment vertical="top"/>
    </x:xf>
    <x:xf numFmtId="0" fontId="3" fillId="0" borderId="0" xfId="0" applyNumberFormat="1" applyFont="1" applyFill="1" applyBorder="1" applyAlignment="1">
      <x:alignment vertical="top"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top"/>
    </x:xf>
    <x:xf numFmtId="0" fontId="5" fillId="2" borderId="2" xfId="0" applyNumberFormat="1" applyFont="1" applyFill="1" applyBorder="1" applyAlignment="1">
      <x:alignment vertical="top"/>
    </x:xf>
    <x:xf numFmtId="0" fontId="5" fillId="2" borderId="3" xfId="0" applyNumberFormat="1" applyFont="1" applyFill="1" applyBorder="1" applyAlignment="1">
      <x:alignment vertical="top"/>
    </x:xf>
    <x:xf numFmtId="0" fontId="5" fillId="2" borderId="4" xfId="0" applyNumberFormat="1" applyFont="1" applyFill="1" applyBorder="1" applyAlignment="1">
      <x:alignment vertical="top"/>
    </x:xf>
    <x:xf numFmtId="0" fontId="5" fillId="2" borderId="2" xfId="0" applyNumberFormat="1" applyFont="1" applyFill="1" applyBorder="1" applyAlignment="1">
      <x:alignment vertical="top" wrapText="1"/>
    </x:xf>
    <x:xf numFmtId="0" fontId="5" fillId="2" borderId="3" xfId="0" applyNumberFormat="1" applyFont="1" applyFill="1" applyBorder="1" applyAlignment="1">
      <x:alignment vertical="top" wrapText="1"/>
    </x:xf>
    <x:xf numFmtId="0" fontId="5" fillId="2" borderId="4" xfId="0" applyNumberFormat="1" applyFont="1" applyFill="1" applyBorder="1" applyAlignment="1">
      <x:alignment vertical="top" wrapText="1"/>
    </x:xf>
    <x:xf numFmtId="0" fontId="5" fillId="2" borderId="2" xfId="0" applyNumberFormat="1" applyFont="1" applyFill="1" applyBorder="1" applyAlignment="1">
      <x:alignment horizontal="left" vertical="top" wrapText="1"/>
    </x:xf>
    <x:xf numFmtId="0" fontId="5" fillId="2" borderId="3" xfId="0" applyNumberFormat="1" applyFont="1" applyFill="1" applyBorder="1" applyAlignment="1">
      <x:alignment horizontal="left" vertical="top" wrapText="1"/>
    </x:xf>
    <x:xf numFmtId="0" fontId="5" fillId="2" borderId="4" xfId="0" applyNumberFormat="1" applyFont="1" applyFill="1" applyBorder="1" applyAlignment="1">
      <x:alignment horizontal="left" vertical="top" wrapText="1"/>
    </x:xf>
    <x:xf numFmtId="0" fontId="5" fillId="2" borderId="2" xfId="0" applyNumberFormat="1" applyFont="1" applyFill="1" applyBorder="1" applyAlignment="1">
      <x:alignment horizontal="left" vertical="center" wrapText="1"/>
    </x:xf>
    <x:xf numFmtId="0" fontId="5" fillId="2" borderId="3" xfId="0" applyNumberFormat="1" applyFont="1" applyFill="1" applyBorder="1" applyAlignment="1">
      <x:alignment horizontal="left" vertical="center" wrapText="1"/>
    </x:xf>
    <x:xf numFmtId="0" fontId="5" fillId="2" borderId="4"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203" fontId="1" fillId="0" borderId="0" xfId="0" applyNumberFormat="1" applyFont="1" applyFill="1" applyBorder="1" applyAlignment="1">
      <x:alignment vertical="top" wrapText="1"/>
    </x:xf>
    <x:xf numFmtId="203" fontId="7" fillId="0" borderId="0" xfId="0" applyNumberFormat="1" applyFont="1" applyFill="1" applyBorder="1" applyAlignment="1">
      <x:alignment vertical="top" wrapText="1"/>
    </x:xf>
    <x:xf numFmtId="203" fontId="7" fillId="0" borderId="0" xfId="0" applyNumberFormat="1" applyFont="1" applyFill="1" applyBorder="1" applyAlignment="1">
      <x:alignment horizontal="left" vertical="top" wrapText="1"/>
    </x:xf>
    <x:xf numFmtId="204" fontId="1" fillId="0" borderId="0" xfId="0" applyNumberFormat="1" applyFont="1" applyFill="1" applyBorder="1" applyAlignment="1">
      <x:alignment vertical="top" wrapText="1"/>
    </x:xf>
    <x:xf numFmtId="204" fontId="7" fillId="0" borderId="0" xfId="0" applyNumberFormat="1" applyFont="1" applyFill="1" applyBorder="1" applyAlignment="1">
      <x:alignment vertical="top" wrapText="1"/>
    </x:xf>
    <x:xf numFmtId="204" fontId="7" fillId="0" borderId="0" xfId="0" applyNumberFormat="1" applyFont="1" applyFill="1" applyBorder="1" applyAlignment="1">
      <x:alignment horizontal="left" vertical="top" wrapText="1"/>
    </x:xf>
    <x:xf numFmtId="205" fontId="1" fillId="0" borderId="0" xfId="0" applyNumberFormat="1" applyFont="1" applyFill="1" applyBorder="1" applyAlignment="1">
      <x:alignment vertical="top" wrapText="1"/>
    </x:xf>
    <x:xf numFmtId="205" fontId="7" fillId="0" borderId="0" xfId="0" applyNumberFormat="1" applyFont="1" applyFill="1" applyBorder="1" applyAlignment="1">
      <x:alignment vertical="top" wrapText="1"/>
    </x:xf>
    <x:xf numFmtId="205" fontId="7" fillId="0" borderId="0" xfId="0" applyNumberFormat="1" applyFont="1" applyFill="1" applyBorder="1" applyAlignment="1">
      <x:alignment horizontal="left" vertical="top" wrapText="1"/>
    </x:xf>
    <x:xf numFmtId="206" fontId="1" fillId="0" borderId="0" xfId="0" applyNumberFormat="1" applyFont="1" applyFill="1" applyBorder="1" applyAlignment="1">
      <x:alignment horizontal="right" vertical="top" wrapText="1"/>
    </x:xf>
    <x:xf numFmtId="206" fontId="1" fillId="0" borderId="0" xfId="0" applyNumberFormat="1" applyFont="1" applyFill="1" applyBorder="1" applyAlignment="1">
      <x:alignment vertical="top" wrapText="1"/>
    </x:xf>
    <x:xf numFmtId="207" fontId="7" fillId="0" borderId="0" xfId="0" applyNumberFormat="1" applyFont="1" applyFill="1" applyBorder="1" applyAlignment="1">
      <x:alignment horizontal="left" vertical="top" wrapText="1"/>
    </x:xf>
    <x:xf numFmtId="208" fontId="7" fillId="0" borderId="0" xfId="0" applyNumberFormat="1" applyFont="1" applyFill="1" applyBorder="1" applyAlignment="1">
      <x:alignment horizontal="left" vertical="top" wrapText="1"/>
    </x:xf>
    <x:xf numFmtId="209" fontId="7" fillId="0" borderId="0" xfId="0" applyNumberFormat="1" applyFont="1" applyFill="1" applyBorder="1" applyAlignment="1">
      <x:alignment horizontal="left" vertical="top" wrapText="1"/>
    </x:xf>
    <x:xf numFmtId="210" fontId="7" fillId="0" borderId="0" xfId="0" applyNumberFormat="1" applyFont="1" applyFill="1" applyBorder="1" applyAlignment="1">
      <x:alignment horizontal="left" vertical="top" wrapText="1"/>
    </x:xf>
  </x:cellXfs>
  <x:cellStyles count="1">
    <x:cellStyle name="Normal" xfId="0"/>
  </x:cellStyles>
  <x:dxfs count="18">
    <x:dxf>
      <x:font>
        <x:b/>
        <x:color rgb="FF175A36"/>
      </x:font>
      <x:fill>
        <x:patternFill>
          <x:bgColor rgb="FFE1F0E8"/>
        </x:patternFill>
      </x:fill>
    </x:dxf>
    <x:dxf>
      <x:font>
        <x:b/>
        <x:color rgb="FF7C4A00"/>
      </x:font>
      <x:fill>
        <x:patternFill>
          <x:bgColor rgb="FFFFF0CF"/>
        </x:patternFill>
      </x:fill>
    </x:dxf>
    <x:dxf>
      <x:font>
        <x:b/>
        <x:color rgb="FF536475"/>
      </x:font>
      <x:fill>
        <x:patternFill>
          <x:bgColor rgb="FFE9EDF1"/>
        </x:patternFill>
      </x:fill>
    </x:dxf>
    <x:dxf>
      <x:font>
        <x:b/>
        <x:color rgb="FF175A36"/>
      </x:font>
      <x:fill>
        <x:patternFill>
          <x:bgColor rgb="FFE1F0E8"/>
        </x:patternFill>
      </x:fill>
    </x:dxf>
    <x:dxf>
      <x:font>
        <x:b/>
        <x:color rgb="FF7C4A00"/>
      </x:font>
      <x:fill>
        <x:patternFill>
          <x:bgColor rgb="FFFFF0CF"/>
        </x:patternFill>
      </x:fill>
    </x:dxf>
    <x:dxf>
      <x:font>
        <x:b/>
        <x:color rgb="FF536475"/>
      </x:font>
      <x:fill>
        <x:patternFill>
          <x:bgColor rgb="FFE9EDF1"/>
        </x:patternFill>
      </x:fill>
    </x:dxf>
    <x:dxf>
      <x:font>
        <x:b/>
        <x:color rgb="FF175A36"/>
      </x:font>
      <x:fill>
        <x:patternFill>
          <x:bgColor rgb="FFE1F0E8"/>
        </x:patternFill>
      </x:fill>
    </x:dxf>
    <x:dxf>
      <x:font>
        <x:b/>
        <x:color rgb="FF7C4A00"/>
      </x:font>
      <x:fill>
        <x:patternFill>
          <x:bgColor rgb="FFFFF0CF"/>
        </x:patternFill>
      </x:fill>
    </x:dxf>
    <x:dxf>
      <x:font>
        <x:b/>
        <x:color rgb="FF536475"/>
      </x:font>
      <x:fill>
        <x:patternFill>
          <x:bgColor rgb="FFE9EDF1"/>
        </x:patternFill>
      </x:fill>
    </x:dxf>
    <x:dxf>
      <x:font>
        <x:b/>
        <x:color rgb="FF175A36"/>
      </x:font>
      <x:fill>
        <x:patternFill>
          <x:bgColor rgb="FFE1F0E8"/>
        </x:patternFill>
      </x:fill>
    </x:dxf>
    <x:dxf>
      <x:font>
        <x:b/>
        <x:color rgb="FF7C4A00"/>
      </x:font>
      <x:fill>
        <x:patternFill>
          <x:bgColor rgb="FFFFF0CF"/>
        </x:patternFill>
      </x:fill>
    </x:dxf>
    <x:dxf>
      <x:font>
        <x:b/>
        <x:color rgb="FF536475"/>
      </x:font>
      <x:fill>
        <x:patternFill>
          <x:bgColor rgb="FFE9EDF1"/>
        </x:patternFill>
      </x:fill>
    </x:dxf>
    <x:dxf>
      <x:font>
        <x:b/>
        <x:color rgb="FF175A36"/>
      </x:font>
      <x:fill>
        <x:patternFill patternType="solid">
          <x:bgColor rgb="FFE1F0E8"/>
        </x:patternFill>
      </x:fill>
    </x:dxf>
    <x:dxf>
      <x:font>
        <x:b/>
        <x:color rgb="FF7C4A00"/>
      </x:font>
      <x:fill>
        <x:patternFill patternType="solid">
          <x:bgColor rgb="FFFFF0CF"/>
        </x:patternFill>
      </x:fill>
    </x:dxf>
    <x:dxf>
      <x:font>
        <x:b/>
        <x:color rgb="FF536475"/>
      </x:font>
      <x:fill>
        <x:patternFill patternType="solid">
          <x:bgColor rgb="FFE9EDF1"/>
        </x:patternFill>
      </x:fill>
    </x:dxf>
    <x:dxf>
      <x:font>
        <x:b/>
        <x:color rgb="FF175A36"/>
      </x:font>
      <x:fill>
        <x:patternFill patternType="solid">
          <x:bgColor rgb="FFE1F0E8"/>
        </x:patternFill>
      </x:fill>
    </x:dxf>
    <x:dxf>
      <x:font>
        <x:b/>
        <x:color rgb="FF7C4A00"/>
      </x:font>
      <x:fill>
        <x:patternFill patternType="solid">
          <x:bgColor rgb="FFFFF0CF"/>
        </x:patternFill>
      </x:fill>
    </x:dxf>
    <x:dxf>
      <x:font>
        <x:b/>
        <x:color rgb="FF536475"/>
      </x:font>
      <x:fill>
        <x:patternFill patternType="solid">
          <x:bgColor rgb="FFE9EDF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a57c8e4d4414d69" /><Relationship Type="http://schemas.openxmlformats.org/officeDocument/2006/relationships/theme" Target="/xl/theme/theme1.xml" Id="Rf180139242f043ee" /><Relationship Type="http://schemas.openxmlformats.org/officeDocument/2006/relationships/sharedStrings" Target="/xl/sharedStrings.xml" Id="Ra227e9103f174e0b" /><Relationship Type="http://schemas.openxmlformats.org/officeDocument/2006/relationships/worksheet" Target="/xl/worksheets/sheet1.xml" Id="Rc9a82f281b624416" /><Relationship Type="http://schemas.openxmlformats.org/officeDocument/2006/relationships/worksheet" Target="/xl/worksheets/sheet2.xml" Id="R1d9ccab8cc7d4b14" /><Relationship Type="http://schemas.openxmlformats.org/officeDocument/2006/relationships/worksheet" Target="/xl/worksheets/sheet3.xml" Id="R0a4f86dced4b4e6e" /></Relationships>
</file>

<file path=xl/tables/table1.xml><?xml version="1.0" encoding="utf-8"?>
<x:table xmlns:x="http://schemas.openxmlformats.org/spreadsheetml/2006/main" id="2" name="CopilotSummary" displayName="CopilotSummary" ref="A18:H404" headerRowCount="1" totalsRowCount="0" totalsRowShown="0">
  <x:autoFilter ref="A18:H404"/>
  <x:tableColumns count="8">
    <x:tableColumn id="1" name="Date of change / report"/>
    <x:tableColumn id="2" name="Product area"/>
    <x:tableColumn id="3" name="Feature"/>
    <x:tableColumn id="4" name="What changed"/>
    <x:tableColumn id="5" name="Productivity impact"/>
    <x:tableColumn id="6" name="Practical work benefit"/>
    <x:tableColumn id="7" name="License / account access"/>
    <x:tableColumn id="8" name="Full record / Change ID"/>
  </x:tableColumns>
  <x:tableStyleInfo name="TableStyleMedium2" showFirstColumn="0" showLastColumn="0" showRowStripes="1" showColumnStripes="0"/>
</x:table>
</file>

<file path=xl/tables/table2.xml><?xml version="1.0" encoding="utf-8"?>
<x:table xmlns:x="http://schemas.openxmlformats.org/spreadsheetml/2006/main" id="1" name="CopilotChanges" displayName="CopilotChanges" ref="A10:U396" headerRowCount="1" totalsRowCount="0" totalsRowShown="0">
  <x:autoFilter ref="A10:U396"/>
  <x:tableColumns count="21">
    <x:tableColumn id="1" name="Date of change / report"/>
    <x:tableColumn id="2" name="Date basis / precision"/>
    <x:tableColumn id="3" name="Product / area"/>
    <x:tableColumn id="4" name="Feature"/>
    <x:tableColumn id="5" name="What changed"/>
    <x:tableColumn id="6" name="Productivity impact"/>
    <x:tableColumn id="7" name="Practical work benefit / example"/>
    <x:tableColumn id="8" name="Why this rating"/>
    <x:tableColumn id="9" name="Availability / status"/>
    <x:tableColumn id="10" name="License, platform and other caveats"/>
    <x:tableColumn id="11" name="Release / reporting window"/>
    <x:tableColumn id="12" name="Primary Microsoft source"/>
    <x:tableColumn id="13" name="Additional Microsoft source"/>
    <x:tableColumn id="14" name="Source publication date"/>
    <x:tableColumn id="15" name="Date checked"/>
    <x:tableColumn id="16" name="Change ID"/>
    <x:tableColumn id="17" name="Change type"/>
    <x:tableColumn id="18" name="Evidence and date notes"/>
    <x:tableColumn id="19" name="Related change ID"/>
    <x:tableColumn id="20" name="Roadmap ID"/>
    <x:tableColumn id="21" name="Announcement da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60861be87814b64" /></Relationships>
</file>

<file path=xl/worksheets/_rels/sheet2.xml.rels>&#65279;<?xml version="1.0" encoding="utf-8"?><Relationships xmlns="http://schemas.openxmlformats.org/package/2006/relationships"><Relationship Type="http://schemas.openxmlformats.org/officeDocument/2006/relationships/table" Target="/xl/tables/table2.xml" Id="R74fbbba51fbd4480" /></Relationships>
</file>

<file path=xl/worksheets/sheet1.xml><?xml version="1.0" encoding="utf-8"?>
<x:worksheet xmlns:x="http://schemas.openxmlformats.org/spreadsheetml/2006/main">
  <x:sheetPr>
    <x:tabColor rgb="FF23867D"/>
  </x:sheetPr>
  <x:sheetViews>
    <x:sheetView showGridLines="0" workbookViewId="0">
      <x:pane xSplit="1" ySplit="18" topLeftCell="B19" activePane="bottomRight" state="frozen"/>
    </x:sheetView>
  </x:sheetViews>
  <x:sheetFormatPr defaultRowHeight="15"/>
  <x:cols>
    <x:col min="1" max="1" width="26" hidden="0" customWidth="1"/>
    <x:col min="2" max="2" width="27" hidden="0" customWidth="1"/>
    <x:col min="3" max="3" width="34" hidden="0" customWidth="1"/>
    <x:col min="4" max="4" width="46" hidden="0" customWidth="1"/>
    <x:col min="5" max="5" width="17" hidden="0" customWidth="1"/>
    <x:col min="6" max="6" width="47" hidden="0" customWidth="1"/>
    <x:col min="7" max="7" width="47" hidden="0" customWidth="1"/>
    <x:col min="8" max="8" width="22" hidden="0" customWidth="1"/>
  </x:cols>
  <x:sheetData>
    <x:row r="1" ht="9" customHeight="1">
      <x:c r="A1" s="26"/>
      <x:c r="B1" s="26"/>
      <x:c r="C1" s="26"/>
      <x:c r="D1" s="26"/>
      <x:c r="E1" s="26"/>
      <x:c r="F1" s="26"/>
      <x:c r="G1" s="26"/>
      <x:c r="H1" s="26"/>
    </x:row>
    <x:row r="2" ht="30" customHeight="1">
      <x:c r="A2" s="33" t="str">
        <x:v>Microsoft Copilot | at a glance</x:v>
      </x:c>
      <x:c r="B2" s="33"/>
      <x:c r="C2" s="33"/>
      <x:c r="D2" s="33"/>
      <x:c r="E2" s="33"/>
      <x:c r="F2" s="33"/>
      <x:c r="G2" s="33"/>
      <x:c r="H2" s="33"/>
    </x:row>
    <x:row r="3" ht="22" customHeight="1">
      <x:c r="A3" s="28" t="str">
        <x:v>16 April–30 October 2026 • Reviewed 30 October 2026 • Short view of every recorded change and availability milestone</x:v>
      </x:c>
      <x:c r="B3" s="28"/>
      <x:c r="C3" s="28"/>
      <x:c r="D3" s="28"/>
      <x:c r="E3" s="28"/>
      <x:c r="F3" s="28"/>
      <x:c r="G3" s="28"/>
      <x:c r="H3" s="28"/>
    </x:row>
    <x:row r="4" ht="7" customHeight="1">
      <x:c r="A4" s="29"/>
      <x:c r="B4" s="29"/>
      <x:c r="C4" s="29"/>
      <x:c r="D4" s="29"/>
      <x:c r="E4" s="29"/>
      <x:c r="F4" s="29"/>
      <x:c r="G4" s="29"/>
      <x:c r="H4" s="29"/>
    </x:row>
    <x:row r="5" ht="22" customHeight="1">
      <x:c r="A5" s="28" t="str">
        <x:v>Recorded changes</x:v>
      </x:c>
      <x:c r="B5" s="28" t="str">
        <x:v>High impact</x:v>
      </x:c>
      <x:c r="C5" s="28" t="str">
        <x:v>Medium impact</x:v>
      </x:c>
      <x:c r="D5" s="28" t="str">
        <x:v>Low impact</x:v>
      </x:c>
      <x:c r="E5" s="40" t="str">
        <x:v>Counts include separate preview, rollout and general-availability milestones. They are recorded changes, not a count of unique features.</x:v>
      </x:c>
      <x:c r="F5" s="40"/>
      <x:c r="G5" s="40"/>
      <x:c r="H5" s="40"/>
    </x:row>
    <x:row r="6" ht="34" customHeight="1">
      <x:c r="A6" s="36" t="n">
        <x:f>'Change log'!A6</x:f>
        <x:v>386</x:v>
      </x:c>
      <x:c r="B6" s="36" t="n">
        <x:f>'Change log'!B6</x:f>
        <x:v>133</x:v>
      </x:c>
      <x:c r="C6" s="36" t="n">
        <x:f>'Change log'!C6</x:f>
        <x:v>216</x:v>
      </x:c>
      <x:c r="D6" s="36" t="n">
        <x:f>'Change log'!D6</x:f>
        <x:v>37</x:v>
      </x:c>
      <x:c r="E6" s="40"/>
      <x:c r="F6" s="40"/>
      <x:c r="G6" s="40"/>
      <x:c r="H6" s="40"/>
    </x:row>
    <x:row r="7" ht="8" customHeight="1">
      <x:c r="A7" s="26"/>
      <x:c r="B7" s="26"/>
      <x:c r="C7" s="26"/>
      <x:c r="D7" s="26"/>
      <x:c r="E7" s="26"/>
      <x:c r="F7" s="26"/>
      <x:c r="G7" s="26"/>
      <x:c r="H7" s="26"/>
    </x:row>
    <x:row r="8" ht="28" customHeight="1">
      <x:c r="A8" s="42" t="str">
        <x:v>Change/report month</x:v>
      </x:c>
      <x:c r="B8" s="42" t="str">
        <x:v>Records</x:v>
      </x:c>
      <x:c r="C8" s="42" t="str">
        <x:v>Selected product areas</x:v>
      </x:c>
      <x:c r="D8" s="42" t="str">
        <x:v>Records mentioning area</x:v>
      </x:c>
      <x:c r="E8" s="52" t="str">
        <x:v>Read this view</x:v>
      </x:c>
      <x:c r="F8" s="52"/>
      <x:c r="G8" s="52"/>
      <x:c r="H8" s="52"/>
    </x:row>
    <x:row r="9" ht="22" customHeight="1">
      <x:c r="A9" s="47" t="d">
        <x:v>2026-04-01T00:00:00.000Z</x:v>
      </x:c>
      <x:c r="B9" s="49" t="n">
        <x:f>COUNTIFS(CopilotChanges[Date of change / report],"&gt;="&amp;DATE(2026,4,1),CopilotChanges[Date of change / report],"&lt;"&amp;DATE(2026,5,1))</x:f>
        <x:v>29</x:v>
      </x:c>
      <x:c r="C9" s="37" t="str">
        <x:v>Excel</x:v>
      </x:c>
      <x:c r="D9" s="49" t="n">
        <x:f>SUM(COUNTIFS(CopilotChanges[Product / area],"Excel"),COUNTIFS(CopilotChanges[Product / area],"Chat / Word / Excel / PowerPoint"),COUNTIFS(CopilotChanges[Product / area],"Word / Excel / PowerPoint"),COUNTIFS(CopilotChanges[Product / area],"Word / Excel / PowerPoint models"),COUNTIFS(CopilotChanges[Product / area],"Microsoft 365 Copilot / Excel / Cowork"))</x:f>
        <x:v>34</x:v>
      </x:c>
      <x:c r="E9" s="54" t="str">
        <x:v>Dates: “stated” is a source-stated event day. “report” and “ann.” identify a publication date; the actual rollout may be earlier or later. “month” has no verified day.</x:v>
      </x:c>
      <x:c r="F9" s="54"/>
      <x:c r="G9" s="54"/>
      <x:c r="H9" s="54"/>
    </x:row>
    <x:row r="10" ht="22" customHeight="1">
      <x:c r="A10" s="48" t="d">
        <x:v>2026-05-01T00:00:00.000Z</x:v>
      </x:c>
      <x:c r="B10" s="50" t="n">
        <x:f>COUNTIFS(CopilotChanges[Date of change / report],"&gt;="&amp;DATE(2026,5,1),CopilotChanges[Date of change / report],"&lt;"&amp;DATE(2026,6,1))</x:f>
        <x:v>28</x:v>
      </x:c>
      <x:c r="C10" s="46" t="str">
        <x:v>Word</x:v>
      </x:c>
      <x:c r="D10" s="50" t="n">
        <x:f>SUM(COUNTIFS(CopilotChanges[Product / area],"Word"),COUNTIFS(CopilotChanges[Product / area],"Word legal plugin"),COUNTIFS(CopilotChanges[Product / area],"Word legal"),COUNTIFS(CopilotChanges[Product / area],"Chat / Word / Excel / PowerPoint"),COUNTIFS(CopilotChanges[Product / area],"Word / Excel / PowerPoint"),COUNTIFS(CopilotChanges[Product / area],"Word / Excel / PowerPoint models"),COUNTIFS(CopilotChanges[Product / area],"Word Legal Agent"))</x:f>
        <x:v>29</x:v>
      </x:c>
      <x:c r="E10" s="54"/>
      <x:c r="F10" s="54"/>
      <x:c r="G10" s="54"/>
      <x:c r="H10" s="54"/>
    </x:row>
    <x:row r="11" ht="22" customHeight="1">
      <x:c r="A11" s="47" t="d">
        <x:v>2026-06-01T00:00:00.000Z</x:v>
      </x:c>
      <x:c r="B11" s="49" t="n">
        <x:f>COUNTIFS(CopilotChanges[Date of change / report],"&gt;="&amp;DATE(2026,6,1),CopilotChanges[Date of change / report],"&lt;"&amp;DATE(2026,7,1))</x:f>
        <x:v>53</x:v>
      </x:c>
      <x:c r="C11" s="37" t="str">
        <x:v>PowerPoint</x:v>
      </x:c>
      <x:c r="D11" s="49" t="n">
        <x:f>SUM(COUNTIFS(CopilotChanges[Product / area],"PowerPoint"),COUNTIFS(CopilotChanges[Product / area],"PowerPoint Live"),COUNTIFS(CopilotChanges[Product / area],"Chat / Word / Excel / PowerPoint"),COUNTIFS(CopilotChanges[Product / area],"PowerPoint Brand Kit"),COUNTIFS(CopilotChanges[Product / area],"Word / Excel / PowerPoint"),COUNTIFS(CopilotChanges[Product / area],"Word / Excel / PowerPoint models"),COUNTIFS(CopilotChanges[Product / area],"PowerPoint / Adobe Experience Manager"),COUNTIFS(CopilotChanges[Product / area],"PowerPoint web"),COUNTIFS(CopilotChanges[Product / area],"PowerPoint / Copilot Chat"))</x:f>
        <x:v>41</x:v>
      </x:c>
      <x:c r="E11" s="54" t="str">
        <x:v>Access: M365 = Microsoft 365. Preview, planned, metered and account restrictions remain visible. Check the full record before a demonstration.</x:v>
      </x:c>
      <x:c r="F11" s="54"/>
      <x:c r="G11" s="54"/>
      <x:c r="H11" s="54"/>
    </x:row>
    <x:row r="12" ht="22" customHeight="1">
      <x:c r="A12" s="48" t="d">
        <x:v>2026-07-01T00:00:00.000Z</x:v>
      </x:c>
      <x:c r="B12" s="50" t="n">
        <x:f>COUNTIFS(CopilotChanges[Date of change / report],"&gt;="&amp;DATE(2026,7,1),CopilotChanges[Date of change / report],"&lt;"&amp;DATE(2026,8,1))</x:f>
        <x:v>65</x:v>
      </x:c>
      <x:c r="C12" s="46" t="str">
        <x:v>Outlook</x:v>
      </x:c>
      <x:c r="D12" s="50" t="n">
        <x:f>SUM(COUNTIFS(CopilotChanges[Product / area],"Outlook"),COUNTIFS(CopilotChanges[Product / area],"Outlook classic"),COUNTIFS(CopilotChanges[Product / area],"Copilot in Teams / Outlook"))</x:f>
        <x:v>14</x:v>
      </x:c>
      <x:c r="E12" s="54"/>
      <x:c r="F12" s="54"/>
      <x:c r="G12" s="54"/>
      <x:c r="H12" s="54"/>
    </x:row>
    <x:row r="13" ht="22" customHeight="1">
      <x:c r="A13" s="47" t="d">
        <x:v>2026-08-01T00:00:00.000Z</x:v>
      </x:c>
      <x:c r="B13" s="49" t="n">
        <x:f>COUNTIFS(CopilotChanges[Date of change / report],"&gt;="&amp;DATE(2026,8,1),CopilotChanges[Date of change / report],"&lt;"&amp;DATE(2026,9,1))</x:f>
        <x:v>54</x:v>
      </x:c>
      <x:c r="C13" s="37" t="str">
        <x:v>Teams</x:v>
      </x:c>
      <x:c r="D13" s="49" t="n">
        <x:f>SUM(COUNTIFS(CopilotChanges[Product / area],"Teams Phone Agent"),COUNTIFS(CopilotChanges[Product / area],"Teams"),COUNTIFS(CopilotChanges[Product / area],"Copilot in Teams / Outlook"))</x:f>
        <x:v>16</x:v>
      </x:c>
      <x:c r="E13" s="54" t="str">
        <x:v>Counts: months use the displayed change/report date. Product counts overlap for multi-app records and cover selected areas only. Impact is a business-productivity judgment.</x:v>
      </x:c>
      <x:c r="F13" s="54"/>
      <x:c r="G13" s="54"/>
      <x:c r="H13" s="54"/>
    </x:row>
    <x:row r="14" ht="22" customHeight="1">
      <x:c r="A14" s="48" t="d">
        <x:v>2026-09-01T00:00:00.000Z</x:v>
      </x:c>
      <x:c r="B14" s="50" t="n">
        <x:f>COUNTIFS(CopilotChanges[Date of change / report],"&gt;="&amp;DATE(2026,9,1),CopilotChanges[Date of change / report],"&lt;"&amp;DATE(2026,10,1))</x:f>
        <x:v>81</x:v>
      </x:c>
      <x:c r="C14" s="46" t="str">
        <x:v>Notebooks</x:v>
      </x:c>
      <x:c r="D14" s="50" t="n">
        <x:f>SUM(COUNTIFS(CopilotChanges[Product / area],"Copilot Notebooks"),COUNTIFS(CopilotChanges[Product / area],"Copilot Notebooks / OneNote"),COUNTIFS(CopilotChanges[Product / area],"OneNote / Copilot Notebooks"))</x:f>
        <x:v>27</x:v>
      </x:c>
      <x:c r="E14" s="54"/>
      <x:c r="F14" s="54"/>
      <x:c r="G14" s="54"/>
      <x:c r="H14" s="54"/>
    </x:row>
    <x:row r="15" ht="22" customHeight="1">
      <x:c r="A15" s="47" t="d">
        <x:v>2026-10-01T00:00:00.000Z</x:v>
      </x:c>
      <x:c r="B15" s="49" t="n">
        <x:f>COUNTIFS(CopilotChanges[Date of change / report],"&gt;="&amp;DATE(2026,10,1),CopilotChanges[Date of change / report],"&lt;"&amp;DATE(2026,11,1))</x:f>
        <x:v>76</x:v>
      </x:c>
      <x:c r="C15" s="37" t="str">
        <x:v>Cowork</x:v>
      </x:c>
      <x:c r="D15" s="49" t="n">
        <x:f>SUM(COUNTIFS(CopilotChanges[Product / area],"Copilot Cowork"),COUNTIFS(CopilotChanges[Product / area],"Cowork / Copilot Studio"),COUNTIFS(CopilotChanges[Product / area],"Copilot Cowork legal"),COUNTIFS(CopilotChanges[Product / area],"Copilot Cowork mobile"),COUNTIFS(CopilotChanges[Product / area],"Copilot Cowork plugins"),COUNTIFS(CopilotChanges[Product / area],"Copilot Chat / Cowork"),COUNTIFS(CopilotChanges[Product / area],"Copilot Cowork models"),COUNTIFS(CopilotChanges[Product / area],"Copilot Cowork / admin center"),COUNTIFS(CopilotChanges[Product / area],"Copilot Cowork / billing"),COUNTIFS(CopilotChanges[Product / area],"Microsoft 365 Copilot / Cowork"),COUNTIFS(CopilotChanges[Product / area],"Microsoft 365 Copilot / Excel / Cowork"))</x:f>
        <x:v>37</x:v>
      </x:c>
      <x:c r="E15" s="54" t="str">
        <x:v>22 records added on 30 October. New entries are appended below; filter or sort the date column. One earlier Learning agent record corroborated.</x:v>
      </x:c>
      <x:c r="F15" s="54"/>
      <x:c r="G15" s="54"/>
      <x:c r="H15" s="54"/>
    </x:row>
    <x:row r="16" ht="8" customHeight="1">
      <x:c r="A16" s="26"/>
      <x:c r="B16" s="26"/>
      <x:c r="C16" s="26"/>
      <x:c r="D16" s="26"/>
      <x:c r="E16" s="26"/>
      <x:c r="F16" s="26"/>
      <x:c r="G16" s="26"/>
      <x:c r="H16" s="26"/>
    </x:row>
    <x:row r="17" ht="23" customHeight="1">
      <x:c r="A17" s="55" t="str">
        <x:v>Concise summaries below • Full descriptions, rating reasons, source links, rollout windows and caveats remain in Change log</x:v>
      </x:c>
      <x:c r="B17" s="55"/>
      <x:c r="C17" s="55"/>
      <x:c r="D17" s="55"/>
      <x:c r="E17" s="55"/>
      <x:c r="F17" s="55"/>
      <x:c r="G17" s="55"/>
      <x:c r="H17" s="55"/>
    </x:row>
    <x:row r="18" ht="43" customHeight="1">
      <x:c r="A18" s="65" t="str">
        <x:v>Date of change / report</x:v>
      </x:c>
      <x:c r="B18" s="66" t="str">
        <x:v>Product area</x:v>
      </x:c>
      <x:c r="C18" s="66" t="str">
        <x:v>Feature</x:v>
      </x:c>
      <x:c r="D18" s="66" t="str">
        <x:v>What changed</x:v>
      </x:c>
      <x:c r="E18" s="66" t="str">
        <x:v>Productivity impact</x:v>
      </x:c>
      <x:c r="F18" s="66" t="str">
        <x:v>Practical work benefit</x:v>
      </x:c>
      <x:c r="G18" s="66" t="str">
        <x:v>License / account access</x:v>
      </x:c>
      <x:c r="H18" s="67" t="str">
        <x:v>Full record / Change ID</x:v>
      </x:c>
    </x:row>
    <x:row r="19" ht="88" customHeight="1">
      <x:c r="A19" s="80" t="n">
        <x:f>INDEX(CopilotChanges[Date of change / report],MATCH($H19,CopilotChanges[Change ID],0))</x:f>
        <x:v>46317</x:v>
      </x:c>
      <x:c r="B19" s="19" t="str">
        <x:v>AI Builder / Copilot Credits</x:v>
      </x:c>
      <x:c r="C19" s="19" t="str">
        <x:v>AI Builder credit retirement reminder</x:v>
      </x:c>
      <x:c r="D19" s="19" t="str">
        <x:v>Retiring add-ons and seeded credits transition future usage to Copilot Credits.</x:v>
      </x:c>
      <x:c r="E19" s="22" t="str">
        <x:f>INDEX(CopilotChanges[Productivity impact],MATCH($H19,CopilotChanges[Change ID],0))</x:f>
        <x:v>Medium</x:v>
      </x:c>
      <x:c r="F19" s="19" t="str">
        <x:v>Prevent credit-dependent automations from losing capacity.</x:v>
      </x:c>
      <x:c r="G19" s="19" t="str">
        <x:v>Planned retirement / billing transition; Existing credits survive through contract term; disable add-on auto-renew before renewal. No automatic credit conversion. Features continue; exhausted credits can block runs.</x:v>
      </x:c>
      <x:c r="H19" s="68" t="str">
        <x:f>IFERROR(HYPERLINK("#'Change log'!A"&amp;(MATCH("COP-639CA36E95",CopilotChanges[Change ID],0)+10),"COP-639CA36E95"),"COP-639CA36E95")</x:f>
        <x:v>COP-639CA36E95</x:v>
      </x:c>
    </x:row>
    <x:row r="20" ht="88" customHeight="1">
      <x:c r="A20" s="80" t="n">
        <x:f>INDEX(CopilotChanges[Date of change / report],MATCH($H20,CopilotChanges[Change ID],0))</x:f>
        <x:v>46317</x:v>
      </x:c>
      <x:c r="B20" s="19" t="str">
        <x:v>Microsoft 365 Insights Agent</x:v>
      </x:c>
      <x:c r="C20" s="19" t="str">
        <x:v>Insights Agent V2 feedback preview</x:v>
      </x:c>
      <x:c r="D20" s="19" t="str">
        <x:v>Agent owners query submitted thumbs ratings, verbatim comments and recurring feedback themes inside Copilot Chat.</x:v>
      </x:c>
      <x:c r="E20" s="22" t="str">
        <x:f>INDEX(CopilotChanges[Productivity impact],MATCH($H20,CopilotChanges[Change ID],0))</x:f>
        <x:v>Medium</x:v>
      </x:c>
      <x:c r="F20" s="19" t="str">
        <x:v>Identify recurring complaints before revising an agent.</x:v>
      </x:c>
      <x:c r="G20" s="19" t="str">
        <x:v>Frontier preview; Frontier eligibility; administrator enables feedback sharing for owned agents (all/selected/none). Region/price not specified.</x:v>
      </x:c>
      <x:c r="H20" s="68" t="str">
        <x:f>IFERROR(HYPERLINK("#'Change log'!A"&amp;(MATCH("COP-8B8089A11F",CopilotChanges[Change ID],0)+10),"COP-8B8089A11F"),"COP-8B8089A11F")</x:f>
        <x:v>COP-8B8089A11F</x:v>
      </x:c>
    </x:row>
    <x:row r="21" ht="88" customHeight="1">
      <x:c r="A21" s="81" t="n">
        <x:f>INDEX(CopilotChanges[Date of change / report],MATCH($H21,CopilotChanges[Change ID],0))</x:f>
        <x:v>46316</x:v>
      </x:c>
      <x:c r="B21" s="19" t="str">
        <x:v>Copilot Code</x:v>
      </x:c>
      <x:c r="C21" s="19" t="str">
        <x:v>Copilot Code begins Frontier rollout</x:v>
      </x:c>
      <x:c r="D21" s="19" t="str">
        <x:v>Build applications from work context, iterate in preview or code, publish to Copilot Managed Runtime, and move projects to GitHub draft pull requests.</x:v>
      </x:c>
      <x:c r="E21" s="22" t="str">
        <x:f>INDEX(CopilotChanges[Productivity impact],MATCH($H21,CopilotChanges[Change ID],0))</x:f>
        <x:v>High</x:v>
      </x:c>
      <x:c r="F21" s="19" t="str">
        <x:v>Prototype an internal tool from project context.</x:v>
      </x:c>
      <x:c r="G21" s="19" t="str">
        <x:v>Frontier preview rollout; M365 Copilot, enabled tenant and spending policy. Windows/web; Mac documentation conflicts. No mobile. Local execution and optional GitHub integration are admin-controlled.</x:v>
      </x:c>
      <x:c r="H21" s="68" t="str">
        <x:f>IFERROR(HYPERLINK("#'Change log'!A"&amp;(MATCH("COP-78DFB0BADE",CopilotChanges[Change ID],0)+10),"COP-78DFB0BADE"),"COP-78DFB0BADE")</x:f>
        <x:v>COP-78DFB0BADE</x:v>
      </x:c>
    </x:row>
    <x:row r="22" ht="88" customHeight="1">
      <x:c r="A22" s="80" t="n">
        <x:f>INDEX(CopilotChanges[Date of change / report],MATCH($H22,CopilotChanges[Change ID],0))</x:f>
        <x:v>46316</x:v>
      </x:c>
      <x:c r="B22" s="19" t="str">
        <x:v>Copilot Cowork</x:v>
      </x:c>
      <x:c r="C22" s="19" t="str">
        <x:v>External-system event-driven Cowork tasks</x:v>
      </x:c>
      <x:c r="D22" s="19" t="str">
        <x:v>External records can trigger delegated work.</x:v>
      </x:c>
      <x:c r="E22" s="22" t="str">
        <x:f>INDEX(CopilotChanges[Productivity impact],MATCH($H22,CopilotChanges[Change ID],0))</x:f>
        <x:v>High</x:v>
      </x:c>
      <x:c r="F22" s="19" t="str">
        <x:v>Start a response workflow when a case changes.</x:v>
      </x:c>
      <x:c r="G22" s="19" t="str">
        <x:v>Available / rolling out by connector; Cowork access; usage charges; enabled connector/triggers; source permissions; actions require approval.</x:v>
      </x:c>
      <x:c r="H22" s="68" t="str">
        <x:f>IFERROR(HYPERLINK("#'Change log'!A"&amp;(MATCH("COP-A5BEFC7ACF",CopilotChanges[Change ID],0)+10),"COP-A5BEFC7ACF"),"COP-A5BEFC7ACF")</x:f>
        <x:v>COP-A5BEFC7ACF</x:v>
      </x:c>
    </x:row>
    <x:row r="23" ht="88" customHeight="1">
      <x:c r="A23" s="80" t="n">
        <x:f>INDEX(CopilotChanges[Date of change / report],MATCH($H23,CopilotChanges[Change ID],0))</x:f>
        <x:v>46316</x:v>
      </x:c>
      <x:c r="B23" s="19" t="str">
        <x:v>Copilot Cowork</x:v>
      </x:c>
      <x:c r="C23" s="19" t="str">
        <x:v>Power Platform connectors in Cowork</x:v>
      </x:c>
      <x:c r="D23" s="19" t="str">
        <x:v>Connect Power Platform business apps to delegated tasks.</x:v>
      </x:c>
      <x:c r="E23" s="22" t="str">
        <x:f>INDEX(CopilotChanges[Productivity impact],MATCH($H23,CopilotChanges[Change ID],0))</x:f>
        <x:v>High</x:v>
      </x:c>
      <x:c r="F23" s="19" t="str">
        <x:v>Delegate work across approved business systems.</x:v>
      </x:c>
      <x:c r="G23" s="19" t="str">
        <x:v>Rolling out; Copilot/Cowork access; metered usage; admin-approved connections; connector-specific prerequisites.</x:v>
      </x:c>
      <x:c r="H23" s="68" t="str">
        <x:f>IFERROR(HYPERLINK("#'Change log'!A"&amp;(MATCH("COP-931192706D",CopilotChanges[Change ID],0)+10),"COP-931192706D"),"COP-931192706D")</x:f>
        <x:v>COP-931192706D</x:v>
      </x:c>
    </x:row>
    <x:row r="24" ht="88" customHeight="1">
      <x:c r="A24" s="80" t="n">
        <x:f>INDEX(CopilotChanges[Date of change / report],MATCH($H24,CopilotChanges[Change ID],0))</x:f>
        <x:v>46316</x:v>
      </x:c>
      <x:c r="B24" s="19" t="str">
        <x:v>Copilot Cowork</x:v>
      </x:c>
      <x:c r="C24" s="19" t="str">
        <x:v>Role-based Cowork task catalog</x:v>
      </x:c>
      <x:c r="D24" s="19" t="str">
        <x:v>Adds role-specific task suggestions.</x:v>
      </x:c>
      <x:c r="E24" s="22" t="str">
        <x:f>INDEX(CopilotChanges[Productivity impact],MATCH($H24,CopilotChanges[Change ID],0))</x:f>
        <x:v>Low</x:v>
      </x:c>
      <x:c r="F24" s="19" t="str">
        <x:v>Find a relevant first delegation.</x:v>
      </x:c>
      <x:c r="G24" s="19" t="str">
        <x:v>Rolling out; Cowork access; usage charges when tasks run; staged catalog availability.</x:v>
      </x:c>
      <x:c r="H24" s="68" t="str">
        <x:f>IFERROR(HYPERLINK("#'Change log'!A"&amp;(MATCH("COP-AF83AA6593",CopilotChanges[Change ID],0)+10),"COP-AF83AA6593"),"COP-AF83AA6593")</x:f>
        <x:v>COP-AF83AA6593</x:v>
      </x:c>
    </x:row>
    <x:row r="25" ht="88" customHeight="1">
      <x:c r="A25" s="80" t="n">
        <x:f>INDEX(CopilotChanges[Date of change / report],MATCH($H25,CopilotChanges[Change ID],0))</x:f>
        <x:v>46316</x:v>
      </x:c>
      <x:c r="B25" s="19" t="str">
        <x:v>Copilot Cowork</x:v>
      </x:c>
      <x:c r="C25" s="19" t="str">
        <x:v>Sales for Cowork role plugin</x:v>
      </x:c>
      <x:c r="D25" s="19" t="str">
        <x:v>Nine skills support sales preparation and follow-up.</x:v>
      </x:c>
      <x:c r="E25" s="22" t="str">
        <x:f>INDEX(CopilotChanges[Productivity impact],MATCH($H25,CopilotChanges[Change ID],0))</x:f>
        <x:v>Medium</x:v>
      </x:c>
      <x:c r="F25" s="19" t="str">
        <x:v>Prepare a deal briefing from existing work.</x:v>
      </x:c>
      <x:c r="G25" s="19" t="str">
        <x:v>Available; admin-controlled; Cowork access; usage charges; admin-enabled plugin; CRM optional; separate from Dynamics Sales plugin.</x:v>
      </x:c>
      <x:c r="H25" s="68" t="str">
        <x:f>IFERROR(HYPERLINK("#'Change log'!A"&amp;(MATCH("COP-3CAC411DD4",CopilotChanges[Change ID],0)+10),"COP-3CAC411DD4"),"COP-3CAC411DD4")</x:f>
        <x:v>COP-3CAC411DD4</x:v>
      </x:c>
    </x:row>
    <x:row r="26" ht="88" customHeight="1">
      <x:c r="A26" s="80" t="n">
        <x:f>INDEX(CopilotChanges[Date of change / report],MATCH($H26,CopilotChanges[Change ID],0))</x:f>
        <x:v>46316</x:v>
      </x:c>
      <x:c r="B26" s="19" t="str">
        <x:v>Copilot Cowork</x:v>
      </x:c>
      <x:c r="C26" s="19" t="str">
        <x:v>Service for Cowork role plugin</x:v>
      </x:c>
      <x:c r="D26" s="19" t="str">
        <x:v>Five skills support case handling and knowledge capture.</x:v>
      </x:c>
      <x:c r="E26" s="22" t="str">
        <x:f>INDEX(CopilotChanges[Productivity impact],MATCH($H26,CopilotChanges[Change ID],0))</x:f>
        <x:v>Medium</x:v>
      </x:c>
      <x:c r="F26" s="19" t="str">
        <x:v>Prepare consistent case handovers and draft replies.</x:v>
      </x:c>
      <x:c r="G26" s="19" t="str">
        <x:v>Available; admin-controlled; Cowork access; usage charges; admin-enabled plugin; CRM optional; separate from Dynamics Customer Service plugin.</x:v>
      </x:c>
      <x:c r="H26" s="68" t="str">
        <x:f>IFERROR(HYPERLINK("#'Change log'!A"&amp;(MATCH("COP-B61B765CB5",CopilotChanges[Change ID],0)+10),"COP-B61B765CB5"),"COP-B61B765CB5")</x:f>
        <x:v>COP-B61B765CB5</x:v>
      </x:c>
    </x:row>
    <x:row r="27" ht="88" customHeight="1">
      <x:c r="A27" s="80" t="n">
        <x:f>INDEX(CopilotChanges[Date of change / report],MATCH($H27,CopilotChanges[Change ID],0))</x:f>
        <x:v>46316</x:v>
      </x:c>
      <x:c r="B27" s="19" t="str">
        <x:v>Copilot licensing / Credits</x:v>
      </x:c>
      <x:c r="C27" s="19" t="str">
        <x:v>E7 matched Copilot Credits offer</x:v>
      </x:c>
      <x:c r="D27" s="19" t="str">
        <x:v>Eligible CSP E7 purchases receive matched credit capacity.</x:v>
      </x:c>
      <x:c r="E27" s="22" t="str">
        <x:f>INDEX(CopilotChanges[Productivity impact],MATCH($H27,CopilotChanges[Change ID],0))</x:f>
        <x:v>Low</x:v>
      </x:c>
      <x:c r="F27" s="19" t="str">
        <x:v>Reassess capacity costs for a qualifying deployment.</x:v>
      </x:c>
      <x:c r="G27" s="19" t="str">
        <x:v>Limited-time offer; At least 300 new annual E7 seats, Azure PAYG, and 5 annual Studio capacity packs. Match up to 5 packs for 12 months. Full offer terms apply.</x:v>
      </x:c>
      <x:c r="H27" s="68" t="str">
        <x:f>IFERROR(HYPERLINK("#'Change log'!A"&amp;(MATCH("COP-FD7F2A134A",CopilotChanges[Change ID],0)+10),"COP-FD7F2A134A"),"COP-FD7F2A134A")</x:f>
        <x:v>COP-FD7F2A134A</x:v>
      </x:c>
    </x:row>
    <x:row r="28" ht="88" customHeight="1">
      <x:c r="A28" s="80" t="n">
        <x:f>INDEX(CopilotChanges[Date of change / report],MATCH($H28,CopilotChanges[Change ID],0))</x:f>
        <x:v>46315</x:v>
      </x:c>
      <x:c r="B28" s="19" t="str">
        <x:v>Copilot Cowork</x:v>
      </x:c>
      <x:c r="C28" s="19" t="str">
        <x:v>Education for Cowork</x:v>
      </x:c>
      <x:c r="D28" s="19" t="str">
        <x:v>Ten education skills and 20 tasks for accreditation, accessibility, continuity, staff AI rollout, governance and research briefs.</x:v>
      </x:c>
      <x:c r="E28" s="22" t="str">
        <x:f>INDEX(CopilotChanges[Productivity impact],MATCH($H28,CopilotChanges[Change ID],0))</x:f>
        <x:v>Medium</x:v>
      </x:c>
      <x:c r="F28" s="19" t="str">
        <x:v>Prepare accreditation evidence and accessibility reviews.</x:v>
      </x:c>
      <x:c r="G28" s="19" t="str">
        <x:v>Rolling out / available subject to tenant; M365 Copilot + Cowork spending policy and metered Credits. Worldwide rollout; no EDU-specific license. Admin controls users/groups. Skills only, no connector/SSO.</x:v>
      </x:c>
      <x:c r="H28" s="68" t="str">
        <x:f>IFERROR(HYPERLINK("#'Change log'!A"&amp;(MATCH("COP-80FDF077AE",CopilotChanges[Change ID],0)+10),"COP-80FDF077AE"),"COP-80FDF077AE")</x:f>
        <x:v>COP-80FDF077AE</x:v>
      </x:c>
    </x:row>
    <x:row r="29" ht="88" customHeight="1">
      <x:c r="A29" s="80" t="n">
        <x:f>INDEX(CopilotChanges[Date of change / report],MATCH($H29,CopilotChanges[Change ID],0))</x:f>
        <x:v>46315</x:v>
      </x:c>
      <x:c r="B29" s="19" t="str">
        <x:v>Copilot in OneDrive</x:v>
      </x:c>
      <x:c r="C29" s="19" t="str">
        <x:v>Cross-spreadsheet analysis in OneDrive</x:v>
      </x:c>
      <x:c r="D29" s="19" t="str">
        <x:v>Analyze selected spreadsheets together, including charts, graphs and trends.</x:v>
      </x:c>
      <x:c r="E29" s="22" t="str">
        <x:f>INDEX(CopilotChanges[Productivity impact],MATCH($H29,CopilotChanges[Change ID],0))</x:f>
        <x:v>Medium</x:v>
      </x:c>
      <x:c r="F29" s="19" t="str">
        <x:v>Compare departmental files before drafting a report.</x:v>
      </x:c>
      <x:c r="G29" s="19" t="str">
        <x:v>Announced; exact rollout unconfirmed; No feature-level license/platform/region detail. Do not use overall OneDrive/SharePoint GA as proof this capability completed rollout.</x:v>
      </x:c>
      <x:c r="H29" s="68" t="str">
        <x:f>IFERROR(HYPERLINK("#'Change log'!A"&amp;(MATCH("COP-3A95B96107",CopilotChanges[Change ID],0)+10),"COP-3A95B96107"),"COP-3A95B96107")</x:f>
        <x:v>COP-3A95B96107</x:v>
      </x:c>
    </x:row>
    <x:row r="30" ht="88" customHeight="1">
      <x:c r="A30" s="80" t="n">
        <x:f>INDEX(CopilotChanges[Date of change / report],MATCH($H30,CopilotChanges[Change ID],0))</x:f>
        <x:v>46315</x:v>
      </x:c>
      <x:c r="B30" s="19" t="str">
        <x:v>Work IQ</x:v>
      </x:c>
      <x:c r="C30" s="19" t="str">
        <x:v>Work IQ retrieve MCP tool</x:v>
      </x:c>
      <x:c r="D30" s="19" t="str">
        <x:v>Retrieves cited grounding Markdown plus structured source metadata across authorized workplace information for agent workflows.</x:v>
      </x:c>
      <x:c r="E30" s="22" t="str">
        <x:f>INDEX(CopilotChanges[Productivity impact],MATCH($H30,CopilotChanges[Change ID],0))</x:f>
        <x:v>High</x:v>
      </x:c>
      <x:c r="F30" s="19" t="str">
        <x:v>Ground a custom assistant in inspectable source material.</x:v>
      </x:c>
      <x:c r="G30" s="19" t="str">
        <x:v>Public preview; Public preview; tenant enablement, delegated WorkIQAgent.Ask permission, admin consent, Copilot Credits and Work IQ API spending policy.</x:v>
      </x:c>
      <x:c r="H30" s="68" t="str">
        <x:f>IFERROR(HYPERLINK("#'Change log'!A"&amp;(MATCH("COP-829E48EB72",CopilotChanges[Change ID],0)+10),"COP-829E48EB72"),"COP-829E48EB72")</x:f>
        <x:v>COP-829E48EB72</x:v>
      </x:c>
    </x:row>
    <x:row r="31" ht="88" customHeight="1">
      <x:c r="A31" s="80" t="n">
        <x:f>INDEX(CopilotChanges[Date of change / report],MATCH($H31,CopilotChanges[Change ID],0))</x:f>
        <x:v>46314</x:v>
      </x:c>
      <x:c r="B31" s="19" t="str">
        <x:v>PowerPoint</x:v>
      </x:c>
      <x:c r="C31" s="19" t="str">
        <x:v>Interactive PowerPoint slides broad rollout</x:v>
      </x:c>
      <x:c r="D31" s="19" t="str">
        <x:v>Generate clickable dashboards, timelines, process flows and comparisons from prompts or existing work content.</x:v>
      </x:c>
      <x:c r="E31" s="22" t="str">
        <x:f>INDEX(CopilotChanges[Productivity impact],MATCH($H31,CopilotChanges[Change ID],0))</x:f>
        <x:v>High</x:v>
      </x:c>
      <x:c r="F31" s="19" t="str">
        <x:v>Explore assumptions during a stakeholder presentation.</x:v>
      </x:c>
      <x:c r="G31" s="19" t="str">
        <x:v>Rolling out, not confirmed complete; Eligible Copilot in PowerPoint; Windows/Mac Current or Monthly Enterprise Channel and web. Viewers need no Copilot. Prompt-based edits; mobile/PDF static. Mac presenter-view interaction unsupported.</x:v>
      </x:c>
      <x:c r="H31" s="68" t="str">
        <x:f>IFERROR(HYPERLINK("#'Change log'!A"&amp;(MATCH("COP-9BC3B20FD7",CopilotChanges[Change ID],0)+10),"COP-9BC3B20FD7"),"COP-9BC3B20FD7")</x:f>
        <x:v>COP-9BC3B20FD7</x:v>
      </x:c>
    </x:row>
    <x:row r="32" ht="88" customHeight="1">
      <x:c r="A32" s="71" t="n">
        <x:f>INDEX(CopilotChanges[Date of change / report],MATCH($H32,CopilotChanges[Change ID],0))</x:f>
        <x:v>46311</x:v>
      </x:c>
      <x:c r="B32" s="19" t="str">
        <x:v>Copilot licensing catalog</x:v>
      </x:c>
      <x:c r="C32" s="19" t="str">
        <x:v>Current offers renamed add-on</x:v>
      </x:c>
      <x:c r="D32" s="19" t="str">
        <x:v>Existing qualifying-base offers gain add-on naming.</x:v>
      </x:c>
      <x:c r="E32" s="22" t="str">
        <x:f>INDEX(CopilotChanges[Productivity impact],MATCH($H32,CopilotChanges[Change ID],0))</x:f>
        <x:v>Medium</x:v>
      </x:c>
      <x:c r="F32" s="19" t="str">
        <x:v>Update purchasing tools to use stable SKU IDs instead of changing display names.</x:v>
      </x:c>
      <x:c r="G32" s="19" t="str">
        <x:v>Effective October 16; Existing Copilot/Copilot Business offers retaining qualifying base-subscription requirement; Existing IDs, price, renewal and service unchanged; no migration or reassignment</x:v>
      </x:c>
      <x:c r="H32" s="68" t="str">
        <x:f>IFERROR(HYPERLINK("#'Change log'!A"&amp;(MATCH("COP-252C27C1A9",CopilotChanges[Change ID],0)+10),"COP-252C27C1A9"),"COP-252C27C1A9")</x:f>
        <x:v>COP-252C27C1A9</x:v>
      </x:c>
    </x:row>
    <x:row r="33" ht="58" customHeight="1">
      <x:c r="A33" s="71" t="n">
        <x:f>INDEX(CopilotChanges[Date of change / report],MATCH($H33,CopilotChanges[Change ID],0))</x:f>
        <x:v>46310</x:v>
      </x:c>
      <x:c r="B33" s="19" t="str">
        <x:v>Copilot Cowork legal</x:v>
      </x:c>
      <x:c r="C33" s="19" t="str">
        <x:v>Multi-file matter work</x:v>
      </x:c>
      <x:c r="D33" s="19" t="str">
        <x:v>Support obligations, agreement comparisons, and case chronologies.</x:v>
      </x:c>
      <x:c r="E33" s="22" t="str">
        <x:f>INDEX(CopilotChanges[Productivity impact],MATCH($H33,CopilotChanges[Change ID],0))</x:f>
        <x:v>High</x:v>
      </x:c>
      <x:c r="F33" s="19" t="str">
        <x:v>Build one matter overview from scattered documents for professional review.</x:v>
      </x:c>
      <x:c r="G33" s="19" t="str">
        <x:v>GA; M365 Copilot commercial; Cowork usage charges may apply; Cowork; add Legal plugin</x:v>
      </x:c>
      <x:c r="H33" s="68" t="str">
        <x:f>IFERROR(HYPERLINK("#'Change log'!A"&amp;(MATCH("COP-D201EC9BE5",CopilotChanges[Change ID],0)+10),"COP-D201EC9BE5"),"COP-D201EC9BE5")</x:f>
        <x:v>COP-D201EC9BE5</x:v>
      </x:c>
    </x:row>
    <x:row r="34" ht="58" customHeight="1">
      <x:c r="A34" s="71" t="n">
        <x:f>INDEX(CopilotChanges[Date of change / report],MATCH($H34,CopilotChanges[Change ID],0))</x:f>
        <x:v>46310</x:v>
      </x:c>
      <x:c r="B34" s="19" t="str">
        <x:v>Copilot for legal</x:v>
      </x:c>
      <x:c r="C34" s="19" t="str">
        <x:v>Legal skills GA</x:v>
      </x:c>
      <x:c r="D34" s="19" t="str">
        <x:v>More than 20 legal-specific capabilities become available.</x:v>
      </x:c>
      <x:c r="E34" s="22" t="str">
        <x:f>INDEX(CopilotChanges[Productivity impact],MATCH($H34,CopilotChanges[Change ID],0))</x:f>
        <x:v>High</x:v>
      </x:c>
      <x:c r="F34" s="19" t="str">
        <x:v>Evaluate first-pass legal document workflows inside existing M365 tools with qualified review.</x:v>
      </x:c>
      <x:c r="G34" s="19" t="str">
        <x:v>GA; M365 Copilot commercial; Worldwide; Word desktop and Cowork</x:v>
      </x:c>
      <x:c r="H34" s="68" t="str">
        <x:f>IFERROR(HYPERLINK("#'Change log'!A"&amp;(MATCH("COP-144A762445",CopilotChanges[Change ID],0)+10),"COP-144A762445"),"COP-144A762445")</x:f>
        <x:v>COP-144A762445</x:v>
      </x:c>
    </x:row>
    <x:row r="35" ht="58" customHeight="1">
      <x:c r="A35" s="74" t="n">
        <x:f>INDEX(CopilotChanges[Date of change / report],MATCH($H35,CopilotChanges[Change ID],0))</x:f>
        <x:v>46310</x:v>
      </x:c>
      <x:c r="B35" s="19" t="str">
        <x:v>Legal partner plugins</x:v>
      </x:c>
      <x:c r="C35" s="19" t="str">
        <x:v>Specialist ecosystem rollout</x:v>
      </x:c>
      <x:c r="D35" s="19" t="str">
        <x:v>Legal research, matter, signature, AI, and discovery integrations.</x:v>
      </x:c>
      <x:c r="E35" s="22" t="str">
        <x:f>INDEX(CopilotChanges[Productivity impact],MATCH($H35,CopilotChanges[Change ID],0))</x:f>
        <x:v>High</x:v>
      </x:c>
      <x:c r="F35" s="19" t="str">
        <x:v>Assess whether existing legal subscriptions can be used within the document workflow.</x:v>
      </x:c>
      <x:c r="G35" s="19" t="str">
        <x:v>Phased rollout; Partner subscriptions and admin approval may be required; Individual partner availability varies</x:v>
      </x:c>
      <x:c r="H35" s="68" t="str">
        <x:f>IFERROR(HYPERLINK("#'Change log'!A"&amp;(MATCH("COP-E5AD4B00A5",CopilotChanges[Change ID],0)+10),"COP-E5AD4B00A5"),"COP-E5AD4B00A5")</x:f>
        <x:v>COP-E5AD4B00A5</x:v>
      </x:c>
    </x:row>
    <x:row r="36" ht="58" customHeight="1">
      <x:c r="A36" s="77" t="n">
        <x:f>INDEX(CopilotChanges[Date of change / report],MATCH($H36,CopilotChanges[Change ID],0))</x:f>
        <x:v>46310</x:v>
      </x:c>
      <x:c r="B36" s="19" t="str">
        <x:v>Word legal</x:v>
      </x:c>
      <x:c r="C36" s="19" t="str">
        <x:v>Defined-term navigation</x:v>
      </x:c>
      <x:c r="D36" s="19" t="str">
        <x:v>Jump between terms and definitions.</x:v>
      </x:c>
      <x:c r="E36" s="22" t="str">
        <x:f>INDEX(CopilotChanges[Productivity impact],MATCH($H36,CopilotChanges[Change ID],0))</x:f>
        <x:v>Medium</x:v>
      </x:c>
      <x:c r="F36" s="19" t="str">
        <x:v>Review a long agreement’s definitions with less manual searching.</x:v>
      </x:c>
      <x:c r="G36" s="19" t="str">
        <x:v>Planned preview; Eligibility not specified in announcement; Not GA and not confirmed live by October 16</x:v>
      </x:c>
      <x:c r="H36" s="68" t="str">
        <x:f>IFERROR(HYPERLINK("#'Change log'!A"&amp;(MATCH("COP-F07113B8C8",CopilotChanges[Change ID],0)+10),"COP-F07113B8C8"),"COP-F07113B8C8")</x:f>
        <x:v>COP-F07113B8C8</x:v>
      </x:c>
    </x:row>
    <x:row r="37" ht="58" customHeight="1">
      <x:c r="A37" s="71" t="n">
        <x:f>INDEX(CopilotChanges[Date of change / report],MATCH($H37,CopilotChanges[Change ID],0))</x:f>
        <x:v>46310</x:v>
      </x:c>
      <x:c r="B37" s="19" t="str">
        <x:v>Word legal plugin</x:v>
      </x:c>
      <x:c r="C37" s="19" t="str">
        <x:v>Native tracked redlines</x:v>
      </x:c>
      <x:c r="D37" s="19" t="str">
        <x:v>Suggested legal edits are inserted as tracked changes.</x:v>
      </x:c>
      <x:c r="E37" s="22" t="str">
        <x:f>INDEX(CopilotChanges[Productivity impact],MATCH($H37,CopilotChanges[Change ID],0))</x:f>
        <x:v>High</x:v>
      </x:c>
      <x:c r="F37" s="19" t="str">
        <x:v>Keep proposed clause revisions reviewable in the same document used for negotiations.</x:v>
      </x:c>
      <x:c r="G37" s="19" t="str">
        <x:v>GA; M365 Copilot commercial; Word desktop</x:v>
      </x:c>
      <x:c r="H37" s="68" t="str">
        <x:f>IFERROR(HYPERLINK("#'Change log'!A"&amp;(MATCH("COP-4C01642861",CopilotChanges[Change ID],0)+10),"COP-4C01642861"),"COP-4C01642861")</x:f>
        <x:v>COP-4C01642861</x:v>
      </x:c>
    </x:row>
    <x:row r="38" ht="58" customHeight="1">
      <x:c r="A38" s="71" t="n">
        <x:f>INDEX(CopilotChanges[Date of change / report],MATCH($H38,CopilotChanges[Change ID],0))</x:f>
        <x:v>46310</x:v>
      </x:c>
      <x:c r="B38" s="19" t="str">
        <x:v>Word legal plugin</x:v>
      </x:c>
      <x:c r="C38" s="19" t="str">
        <x:v>Playbook-based contract review</x:v>
      </x:c>
      <x:c r="D38" s="19" t="str">
        <x:v>Evaluate a contract against an uploaded DOCX playbook.</x:v>
      </x:c>
      <x:c r="E38" s="22" t="str">
        <x:f>INDEX(CopilotChanges[Productivity impact],MATCH($H38,CopilotChanges[Change ID],0))</x:f>
        <x:v>High</x:v>
      </x:c>
      <x:c r="F38" s="19" t="str">
        <x:v>Apply an approved negotiating standard systematically before a lawyer reviews the exceptions.</x:v>
      </x:c>
      <x:c r="G38" s="19" t="str">
        <x:v>GA; M365 Copilot commercial; Playbooks only; templates unsupported for review</x:v>
      </x:c>
      <x:c r="H38" s="68" t="str">
        <x:f>IFERROR(HYPERLINK("#'Change log'!A"&amp;(MATCH("COP-2FFC2CC1FB",CopilotChanges[Change ID],0)+10),"COP-2FFC2CC1FB"),"COP-2FFC2CC1FB")</x:f>
        <x:v>COP-2FFC2CC1FB</x:v>
      </x:c>
    </x:row>
    <x:row r="39" ht="58" customHeight="1">
      <x:c r="A39" s="71" t="n">
        <x:f>INDEX(CopilotChanges[Date of change / report],MATCH($H39,CopilotChanges[Change ID],0))</x:f>
        <x:v>46310</x:v>
      </x:c>
      <x:c r="B39" s="19" t="str">
        <x:v>Word legal plugin</x:v>
      </x:c>
      <x:c r="C39" s="19" t="str">
        <x:v>Precedent-based contract drafting</x:v>
      </x:c>
      <x:c r="D39" s="19" t="str">
        <x:v>Create structured placeholders from precedents or templates.</x:v>
      </x:c>
      <x:c r="E39" s="22" t="str">
        <x:f>INDEX(CopilotChanges[Productivity impact],MATCH($H39,CopilotChanges[Change ID],0))</x:f>
        <x:v>High</x:v>
      </x:c>
      <x:c r="F39" s="19" t="str">
        <x:v>Reuse an approved agreement structure and keep repeated deal terms consistent during drafting.</x:v>
      </x:c>
      <x:c r="G39" s="19" t="str">
        <x:v>GA; M365 Copilot commercial; Word desktop; distinct from playbook-only review restriction</x:v>
      </x:c>
      <x:c r="H39" s="68" t="str">
        <x:f>IFERROR(HYPERLINK("#'Change log'!A"&amp;(MATCH("COP-669130F50C",CopilotChanges[Change ID],0)+10),"COP-669130F50C"),"COP-669130F50C")</x:f>
        <x:v>COP-669130F50C</x:v>
      </x:c>
    </x:row>
    <x:row r="40" ht="88" customHeight="1">
      <x:c r="A40" s="77" t="n">
        <x:f>INDEX(CopilotChanges[Date of change / report],MATCH($H40,CopilotChanges[Change ID],0))</x:f>
        <x:v>46309</x:v>
      </x:c>
      <x:c r="B40" s="19" t="str">
        <x:v>Copilot licensing catalog</x:v>
      </x:c>
      <x:c r="C40" s="19" t="str">
        <x:v>Base-purchase prerequisite removed for new offers</x:v>
      </x:c>
      <x:c r="D40" s="19" t="str">
        <x:v>New offers remove qualifying-base purchase prerequisite at the same price.</x:v>
      </x:c>
      <x:c r="E40" s="22" t="str">
        <x:f>INDEX(CopilotChanges[Productivity impact],MATCH($H40,CopilotChanges[Change ID],0))</x:f>
        <x:v>Medium</x:v>
      </x:c>
      <x:c r="F40" s="19" t="str">
        <x:v>Recheck a December procurement design without assuming the new SKU includes all M365 apps.</x:v>
      </x:c>
      <x:c r="G40" s="19" t="str">
        <x:v>Planned new offers; app/service rights depend on underlying licenses; new product/SKU IDs; all channels and commercial/education/government/nonprofit sectors; CSP add-ons stop new sales Dec 1, retain renewals</x:v>
      </x:c>
      <x:c r="H40" s="68" t="str">
        <x:f>IFERROR(HYPERLINK("#'Change log'!A"&amp;(MATCH("COP-728E8A6E2B",CopilotChanges[Change ID],0)+10),"COP-728E8A6E2B"),"COP-728E8A6E2B")</x:f>
        <x:v>COP-728E8A6E2B</x:v>
      </x:c>
    </x:row>
    <x:row r="41" ht="58" customHeight="1">
      <x:c r="A41" s="71" t="n">
        <x:f>INDEX(CopilotChanges[Date of change / report],MATCH($H41,CopilotChanges[Change ID],0))</x:f>
        <x:v>46309</x:v>
      </x:c>
      <x:c r="B41" s="19" t="str">
        <x:v>SharePoint knowledge bases</x:v>
      </x:c>
      <x:c r="C41" s="19" t="str">
        <x:v>Agent-curated team knowledge</x:v>
      </x:c>
      <x:c r="D41" s="19" t="str">
        <x:v>Compile team context into linked Markdown knowledge.</x:v>
      </x:c>
      <x:c r="E41" s="22" t="str">
        <x:f>INDEX(CopilotChanges[Productivity impact],MATCH($H41,CopilotChanges[Change ID],0))</x:f>
        <x:v>High</x:v>
      </x:c>
      <x:c r="F41" s="19" t="str">
        <x:v>Build a shared contextual base for project assistants rather than repeatedly supplying scattered source files.</x:v>
      </x:c>
      <x:c r="G41" s="19" t="str">
        <x:v>Frontier public rollout; Usage-based billing enabled; preview terms may change; Autopilot integration has separate access cadence</x:v>
      </x:c>
      <x:c r="H41" s="68" t="str">
        <x:f>IFERROR(HYPERLINK("#'Change log'!A"&amp;(MATCH("COP-2BF5F3BE2F",CopilotChanges[Change ID],0)+10),"COP-2BF5F3BE2F"),"COP-2BF5F3BE2F")</x:f>
        <x:v>COP-2BF5F3BE2F</x:v>
      </x:c>
    </x:row>
    <x:row r="42" ht="73" customHeight="1">
      <x:c r="A42" s="71" t="n">
        <x:f>INDEX(CopilotChanges[Date of change / report],MATCH($H42,CopilotChanges[Change ID],0))</x:f>
        <x:v>46309</x:v>
      </x:c>
      <x:c r="B42" s="19" t="str">
        <x:v>Teams Phone Agent</x:v>
      </x:c>
      <x:c r="C42" s="19" t="str">
        <x:v>Expanded voice selection</x:v>
      </x:c>
      <x:c r="D42" s="19" t="str">
        <x:v>Voice catalog grows to 42, including 33 additions.</x:v>
      </x:c>
      <x:c r="E42" s="22" t="str">
        <x:f>INDEX(CopilotChanges[Productivity impact],MATCH($H42,CopilotChanges[Change ID],0))</x:f>
        <x:v>Low</x:v>
      </x:c>
      <x:c r="F42" s="19" t="str">
        <x:v>Choose a voice that suits a customer-service line after testing intelligibility.</x:v>
      </x:c>
      <x:c r="G42" s="19" t="str">
        <x:v>Released; Teams Phone prerequisites; funded Copilot Credits spending policy; India unsupported; voice/language compatibility requires checking</x:v>
      </x:c>
      <x:c r="H42" s="68" t="str">
        <x:f>IFERROR(HYPERLINK("#'Change log'!A"&amp;(MATCH("COP-6DCFDB5B68",CopilotChanges[Change ID],0)+10),"COP-6DCFDB5B68"),"COP-6DCFDB5B68")</x:f>
        <x:v>COP-6DCFDB5B68</x:v>
      </x:c>
    </x:row>
    <x:row r="43" ht="58" customHeight="1">
      <x:c r="A43" s="71" t="n">
        <x:f>INDEX(CopilotChanges[Date of change / report],MATCH($H43,CopilotChanges[Change ID],0))</x:f>
        <x:v>46308</x:v>
      </x:c>
      <x:c r="B43" s="19" t="str">
        <x:v>Copilot security</x:v>
      </x:c>
      <x:c r="C43" s="19" t="str">
        <x:v>Trust-aware content processing</x:v>
      </x:c>
      <x:c r="D43" s="19" t="str">
        <x:v>Isolate and constrain untrusted grounding content.</x:v>
      </x:c>
      <x:c r="E43" s="22" t="str">
        <x:f>INDEX(CopilotChanges[Productivity impact],MATCH($H43,CopilotChanges[Change ID],0))</x:f>
        <x:v>High</x:v>
      </x:c>
      <x:c r="F43" s="19" t="str">
        <x:v>Review tenant protection settings before depending on AI to process external documents or email.</x:v>
      </x:c>
      <x:c r="G43" s="19" t="str">
        <x:v>Announced enforcement layer; Applicable tenant protection configuration; Release status and tenant behavior vary</x:v>
      </x:c>
      <x:c r="H43" s="68" t="str">
        <x:f>IFERROR(HYPERLINK("#'Change log'!A"&amp;(MATCH("COP-2D5C5FC430",CopilotChanges[Change ID],0)+10),"COP-2D5C5FC430"),"COP-2D5C5FC430")</x:f>
        <x:v>COP-2D5C5FC430</x:v>
      </x:c>
    </x:row>
    <x:row r="44" ht="58" customHeight="1">
      <x:c r="A44" s="74" t="n">
        <x:f>INDEX(CopilotChanges[Date of change / report],MATCH($H44,CopilotChanges[Change ID],0))</x:f>
        <x:v>46307</x:v>
      </x:c>
      <x:c r="B44" s="19" t="str">
        <x:v>Excel</x:v>
      </x:c>
      <x:c r="C44" s="19" t="str">
        <x:v>Clean Data workflow</x:v>
      </x:c>
      <x:c r="D44" s="19" t="str">
        <x:v>Identify inconsistent values, types, formatting, and duplicates.</x:v>
      </x:c>
      <x:c r="E44" s="22" t="str">
        <x:f>INDEX(CopilotChanges[Productivity impact],MATCH($H44,CopilotChanges[Change ID],0))</x:f>
        <x:v>High</x:v>
      </x:c>
      <x:c r="F44" s="19" t="str">
        <x:v>Find and review data-quality issues before producing a model or management report.</x:v>
      </x:c>
      <x:c r="G44" s="19" t="str">
        <x:v>GA rollout started; M365 Copilot; verify entitlement; Platform unspecified; verify tenant access</x:v>
      </x:c>
      <x:c r="H44" s="68" t="str">
        <x:f>IFERROR(HYPERLINK("#'Change log'!A"&amp;(MATCH("COP-96449EC9CE",CopilotChanges[Change ID],0)+10),"COP-96449EC9CE"),"COP-96449EC9CE")</x:f>
        <x:v>COP-96449EC9CE</x:v>
      </x:c>
    </x:row>
    <x:row r="45" ht="58" customHeight="1">
      <x:c r="A45" s="77" t="n">
        <x:f>INDEX(CopilotChanges[Date of change / report],MATCH($H45,CopilotChanges[Change ID],0))</x:f>
        <x:v>46307</x:v>
      </x:c>
      <x:c r="B45" s="19" t="str">
        <x:v>Excel</x:v>
      </x:c>
      <x:c r="C45" s="19" t="str">
        <x:v>Conversational Get Data</x:v>
      </x:c>
      <x:c r="D45" s="19" t="str">
        <x:v>Create data acquisition and shaping steps conversationally.</x:v>
      </x:c>
      <x:c r="E45" s="22" t="str">
        <x:f>INDEX(CopilotChanges[Productivity impact],MATCH($H45,CopilotChanges[Change ID],0))</x:f>
        <x:v>High</x:v>
      </x:c>
      <x:c r="F45" s="19" t="str">
        <x:v>Reduce the Power Query expertise needed to prepare a recurring operational dataset.</x:v>
      </x:c>
      <x:c r="G45" s="19" t="str">
        <x:v>Planned GA rollout; M365 Copilot; Web app</x:v>
      </x:c>
      <x:c r="H45" s="68" t="str">
        <x:f>IFERROR(HYPERLINK("#'Change log'!A"&amp;(MATCH("COP-4AA811200E",CopilotChanges[Change ID],0)+10),"COP-4AA811200E"),"COP-4AA811200E")</x:f>
        <x:v>COP-4AA811200E</x:v>
      </x:c>
    </x:row>
    <x:row r="46" ht="58" customHeight="1">
      <x:c r="A46" s="74" t="n">
        <x:f>INDEX(CopilotChanges[Date of change / report],MATCH($H46,CopilotChanges[Change ID],0))</x:f>
        <x:v>46307</x:v>
      </x:c>
      <x:c r="B46" s="19" t="str">
        <x:v>Excel</x:v>
      </x:c>
      <x:c r="C46" s="19" t="str">
        <x:v>Conversational skill builder</x:v>
      </x:c>
      <x:c r="D46" s="19" t="str">
        <x:v>Convert workflow instructions into reusable skills.</x:v>
      </x:c>
      <x:c r="E46" s="22" t="str">
        <x:f>INDEX(CopilotChanges[Productivity impact],MATCH($H46,CopilotChanges[Change ID],0))</x:f>
        <x:v>High</x:v>
      </x:c>
      <x:c r="F46" s="19" t="str">
        <x:v>Capture a monthly reporting method once, then reuse it across future analysis cycles.</x:v>
      </x:c>
      <x:c r="G46" s="19" t="str">
        <x:v>GA rollout started; M365 Copilot; verify entitlement; Capacity and usage limits apply</x:v>
      </x:c>
      <x:c r="H46" s="68" t="str">
        <x:f>IFERROR(HYPERLINK("#'Change log'!A"&amp;(MATCH("COP-B556F675F3",CopilotChanges[Change ID],0)+10),"COP-B556F675F3"),"COP-B556F675F3")</x:f>
        <x:v>COP-B556F675F3</x:v>
      </x:c>
    </x:row>
    <x:row r="47" ht="58" customHeight="1">
      <x:c r="A47" s="71" t="n">
        <x:f>INDEX(CopilotChanges[Date of change / report],MATCH($H47,CopilotChanges[Change ID],0))</x:f>
        <x:v>46307</x:v>
      </x:c>
      <x:c r="B47" s="19" t="str">
        <x:v>Excel</x:v>
      </x:c>
      <x:c r="C47" s="19" t="str">
        <x:v>Interactive canvas</x:v>
      </x:c>
      <x:c r="D47" s="19" t="str">
        <x:v>Create workbook-connected interactive reports.</x:v>
      </x:c>
      <x:c r="E47" s="22" t="str">
        <x:f>INDEX(CopilotChanges[Productivity impact],MATCH($H47,CopilotChanges[Change ID],0))</x:f>
        <x:v>High</x:v>
      </x:c>
      <x:c r="F47" s="19" t="str">
        <x:v>Replace static screenshots with an executive view that stays linked to the working data.</x:v>
      </x:c>
      <x:c r="G47" s="19" t="str">
        <x:v>Insiders; M365 Copilot; verify entitlement; Insider availability; broader release unspecified</x:v>
      </x:c>
      <x:c r="H47" s="68" t="str">
        <x:f>IFERROR(HYPERLINK("#'Change log'!A"&amp;(MATCH("COP-590234EE25",CopilotChanges[Change ID],0)+10),"COP-590234EE25"),"COP-590234EE25")</x:f>
        <x:v>COP-590234EE25</x:v>
      </x:c>
    </x:row>
    <x:row r="48" ht="58" customHeight="1">
      <x:c r="A48" s="77" t="n">
        <x:f>INDEX(CopilotChanges[Date of change / report],MATCH($H48,CopilotChanges[Change ID],0))</x:f>
        <x:v>46307</x:v>
      </x:c>
      <x:c r="B48" s="19" t="str">
        <x:v>Excel</x:v>
      </x:c>
      <x:c r="C48" s="19" t="str">
        <x:v>Skill recorder</x:v>
      </x:c>
      <x:c r="D48" s="19" t="str">
        <x:v>Learn reusable workflows from demonstrated actions.</x:v>
      </x:c>
      <x:c r="E48" s="22" t="str">
        <x:f>INDEX(CopilotChanges[Productivity impact],MATCH($H48,CopilotChanges[Change ID],0))</x:f>
        <x:v>High</x:v>
      </x:c>
      <x:c r="F48" s="19" t="str">
        <x:v>Teach a repeatable workbook preparation sequence by doing it once.</x:v>
      </x:c>
      <x:c r="G48" s="19" t="str">
        <x:v>Planned Insiders; M365 Copilot; capacity and usage limits; Not confirmed released by October 16</x:v>
      </x:c>
      <x:c r="H48" s="68" t="str">
        <x:f>IFERROR(HYPERLINK("#'Change log'!A"&amp;(MATCH("COP-BBC1312A5A",CopilotChanges[Change ID],0)+10),"COP-BBC1312A5A"),"COP-BBC1312A5A")</x:f>
        <x:v>COP-BBC1312A5A</x:v>
      </x:c>
    </x:row>
    <x:row r="49" ht="58" customHeight="1">
      <x:c r="A49" s="71" t="n">
        <x:f>INDEX(CopilotChanges[Date of change / report],MATCH($H49,CopilotChanges[Change ID],0))</x:f>
        <x:v>46304</x:v>
      </x:c>
      <x:c r="B49" s="19" t="str">
        <x:v>Copilot Library</x:v>
      </x:c>
      <x:c r="C49" s="19" t="str">
        <x:v>Connected Office files</x:v>
      </x:c>
      <x:c r="D49" s="19" t="str">
        <x:v>Reopen or create files with preserved permissions and history.</x:v>
      </x:c>
      <x:c r="E49" s="22" t="str">
        <x:f>INDEX(CopilotChanges[Productivity impact],MATCH($H49,CopilotChanges[Change ID],0))</x:f>
        <x:v>Medium</x:v>
      </x:c>
      <x:c r="F49" s="19" t="str">
        <x:v>Resume work from a consistent file location without proliferating disconnected draft versions.</x:v>
      </x:c>
      <x:c r="G49" s="19" t="str">
        <x:v>Frontier rollout; M365 Copilot; verify entitlement; Files stored in OneDrive</x:v>
      </x:c>
      <x:c r="H49" s="68" t="str">
        <x:f>IFERROR(HYPERLINK("#'Change log'!A"&amp;(MATCH("COP-A735782D5D",CopilotChanges[Change ID],0)+10),"COP-A735782D5D"),"COP-A735782D5D")</x:f>
        <x:v>COP-A735782D5D</x:v>
      </x:c>
    </x:row>
    <x:row r="50" ht="58" customHeight="1">
      <x:c r="A50" s="77" t="n">
        <x:f>INDEX(CopilotChanges[Date of change / report],MATCH($H50,CopilotChanges[Change ID],0))</x:f>
        <x:v>46304</x:v>
      </x:c>
      <x:c r="B50" s="19" t="str">
        <x:v>Copilot Notebooks</x:v>
      </x:c>
      <x:c r="C50" s="19" t="str">
        <x:v>Expanded audio overviews</x:v>
      </x:c>
      <x:c r="D50" s="19" t="str">
        <x:v>Additional source types, debate formats, episodes, and OneDrive export.</x:v>
      </x:c>
      <x:c r="E50" s="22" t="str">
        <x:f>INDEX(CopilotChanges[Productivity impact],MATCH($H50,CopilotChanges[Change ID],0))</x:f>
        <x:v>Medium</x:v>
      </x:c>
      <x:c r="F50" s="19" t="str">
        <x:v>Review project arguments in audio form while preserving an organized reference base.</x:v>
      </x:c>
      <x:c r="G50" s="19" t="str">
        <x:v>Planned Frontier; M365 Copilot; verify entitlement; Not confirmed shipped by cutoff</x:v>
      </x:c>
      <x:c r="H50" s="68" t="str">
        <x:f>IFERROR(HYPERLINK("#'Change log'!A"&amp;(MATCH("COP-6D1F3CBA63",CopilotChanges[Change ID],0)+10),"COP-6D1F3CBA63"),"COP-6D1F3CBA63")</x:f>
        <x:v>COP-6D1F3CBA63</x:v>
      </x:c>
    </x:row>
    <x:row r="51" ht="58" customHeight="1">
      <x:c r="A51" s="71" t="n">
        <x:f>INDEX(CopilotChanges[Date of change / report],MATCH($H51,CopilotChanges[Change ID],0))</x:f>
        <x:v>46304</x:v>
      </x:c>
      <x:c r="B51" s="19" t="str">
        <x:v>Copilot Notebooks</x:v>
      </x:c>
      <x:c r="C51" s="19" t="str">
        <x:v>In-context task execution</x:v>
      </x:c>
      <x:c r="D51" s="19" t="str">
        <x:v>Manage references and create or edit single files.</x:v>
      </x:c>
      <x:c r="E51" s="22" t="str">
        <x:f>INDEX(CopilotChanges[Productivity impact],MATCH($H51,CopilotChanges[Change ID],0))</x:f>
        <x:v>High</x:v>
      </x:c>
      <x:c r="F51" s="19" t="str">
        <x:v>Move from project evidence to a concrete deliverable without exporting the notebook context.</x:v>
      </x:c>
      <x:c r="G51" s="19" t="str">
        <x:v>Frontier; M365 Copilot; verify entitlement; Platform unspecified; verify tenant access</x:v>
      </x:c>
      <x:c r="H51" s="68" t="str">
        <x:f>IFERROR(HYPERLINK("#'Change log'!A"&amp;(MATCH("COP-1430659C0C",CopilotChanges[Change ID],0)+10),"COP-1430659C0C"),"COP-1430659C0C")</x:f>
        <x:v>COP-1430659C0C</x:v>
      </x:c>
    </x:row>
    <x:row r="52" ht="58" customHeight="1">
      <x:c r="A52" s="71" t="n">
        <x:f>INDEX(CopilotChanges[Date of change / report],MATCH($H52,CopilotChanges[Change ID],0))</x:f>
        <x:v>46304</x:v>
      </x:c>
      <x:c r="B52" s="19" t="str">
        <x:v>Copilot Notebooks</x:v>
      </x:c>
      <x:c r="C52" s="19" t="str">
        <x:v>Interactive and PDF outputs</x:v>
      </x:c>
      <x:c r="D52" s="19" t="str">
        <x:v>Create interactive reports or PDF deliverables.</x:v>
      </x:c>
      <x:c r="E52" s="22" t="str">
        <x:f>INDEX(CopilotChanges[Productivity impact],MATCH($H52,CopilotChanges[Change ID],0))</x:f>
        <x:v>Medium</x:v>
      </x:c>
      <x:c r="F52" s="19" t="str">
        <x:v>Produce a shareable decision brief directly from project evidence.</x:v>
      </x:c>
      <x:c r="G52" s="19" t="str">
        <x:v>Frontier; M365 Copilot; verify entitlement; Platform unspecified; verify tenant access</x:v>
      </x:c>
      <x:c r="H52" s="68" t="str">
        <x:f>IFERROR(HYPERLINK("#'Change log'!A"&amp;(MATCH("COP-3EFDAC42B7",CopilotChanges[Change ID],0)+10),"COP-3EFDAC42B7"),"COP-3EFDAC42B7")</x:f>
        <x:v>COP-3EFDAC42B7</x:v>
      </x:c>
    </x:row>
    <x:row r="53" ht="58" customHeight="1">
      <x:c r="A53" s="71" t="n">
        <x:f>INDEX(CopilotChanges[Date of change / report],MATCH($H53,CopilotChanges[Change ID],0))</x:f>
        <x:v>46304</x:v>
      </x:c>
      <x:c r="B53" s="19" t="str">
        <x:v>Copilot Notebooks</x:v>
      </x:c>
      <x:c r="C53" s="19" t="str">
        <x:v>Model choice</x:v>
      </x:c>
      <x:c r="D53" s="19" t="str">
        <x:v>Choose a model for notebook conversations.</x:v>
      </x:c>
      <x:c r="E53" s="22" t="str">
        <x:f>INDEX(CopilotChanges[Productivity impact],MATCH($H53,CopilotChanges[Change ID],0))</x:f>
        <x:v>Medium</x:v>
      </x:c>
      <x:c r="F53" s="19" t="str">
        <x:v>Use deeper reasoning for difficult synthesis while testing faster options for routine questions.</x:v>
      </x:c>
      <x:c r="G53" s="19" t="str">
        <x:v>Frontier; M365 Copilot; verify entitlement; Platform unspecified; verify tenant access</x:v>
      </x:c>
      <x:c r="H53" s="68" t="str">
        <x:f>IFERROR(HYPERLINK("#'Change log'!A"&amp;(MATCH("COP-09BD83E127",CopilotChanges[Change ID],0)+10),"COP-09BD83E127"),"COP-09BD83E127")</x:f>
        <x:v>COP-09BD83E127</x:v>
      </x:c>
    </x:row>
    <x:row r="54" ht="58" customHeight="1">
      <x:c r="A54" s="77" t="n">
        <x:f>INDEX(CopilotChanges[Date of change / report],MATCH($H54,CopilotChanges[Change ID],0))</x:f>
        <x:v>46304</x:v>
      </x:c>
      <x:c r="B54" s="19" t="str">
        <x:v>Copilot Notebooks</x:v>
      </x:c>
      <x:c r="C54" s="19" t="str">
        <x:v>Notebook creation by goal</x:v>
      </x:c>
      <x:c r="D54" s="19" t="str">
        <x:v>Assemble a notebook with relevant initial references.</x:v>
      </x:c>
      <x:c r="E54" s="22" t="str">
        <x:f>INDEX(CopilotChanges[Productivity impact],MATCH($H54,CopilotChanges[Change ID],0))</x:f>
        <x:v>Medium</x:v>
      </x:c>
      <x:c r="F54" s="19" t="str">
        <x:v>Start client discovery with a populated research workspace rather than an empty container.</x:v>
      </x:c>
      <x:c r="G54" s="19" t="str">
        <x:v>Planned Frontier; M365 Copilot; verify entitlement; Not confirmed shipped by cutoff</x:v>
      </x:c>
      <x:c r="H54" s="68" t="str">
        <x:f>IFERROR(HYPERLINK("#'Change log'!A"&amp;(MATCH("COP-034EF12363",CopilotChanges[Change ID],0)+10),"COP-034EF12363"),"COP-034EF12363")</x:f>
        <x:v>COP-034EF12363</x:v>
      </x:c>
    </x:row>
    <x:row r="55" ht="58" customHeight="1">
      <x:c r="A55" s="71" t="n">
        <x:f>INDEX(CopilotChanges[Date of change / report],MATCH($H55,CopilotChanges[Change ID],0))</x:f>
        <x:v>46304</x:v>
      </x:c>
      <x:c r="B55" s="19" t="str">
        <x:v>Copilot Notebooks</x:v>
      </x:c>
      <x:c r="C55" s="19" t="str">
        <x:v>Notebook reorganization</x:v>
      </x:c>
      <x:c r="D55" s="19" t="str">
        <x:v>Group and reorder contents in refreshed navigation.</x:v>
      </x:c>
      <x:c r="E55" s="22" t="str">
        <x:f>INDEX(CopilotChanges[Productivity impact],MATCH($H55,CopilotChanges[Change ID],0))</x:f>
        <x:v>Low</x:v>
      </x:c>
      <x:c r="F55" s="19" t="str">
        <x:v>Keep a growing project workspace easier to scan.</x:v>
      </x:c>
      <x:c r="G55" s="19" t="str">
        <x:v>Frontier; M365 Copilot; verify entitlement; Copilot app and OneNote</x:v>
      </x:c>
      <x:c r="H55" s="68" t="str">
        <x:f>IFERROR(HYPERLINK("#'Change log'!A"&amp;(MATCH("COP-56803380CC",CopilotChanges[Change ID],0)+10),"COP-56803380CC"),"COP-56803380CC")</x:f>
        <x:v>COP-56803380CC</x:v>
      </x:c>
    </x:row>
    <x:row r="56" ht="58" customHeight="1">
      <x:c r="A56" s="77" t="n">
        <x:f>INDEX(CopilotChanges[Date of change / report],MATCH($H56,CopilotChanges[Change ID],0))</x:f>
        <x:v>46304</x:v>
      </x:c>
      <x:c r="B56" s="19" t="str">
        <x:v>Copilot Notebooks</x:v>
      </x:c>
      <x:c r="C56" s="19" t="str">
        <x:v>Recurring task automation</x:v>
      </x:c>
      <x:c r="D56" s="19" t="str">
        <x:v>Schedule repeatable notebook work.</x:v>
      </x:c>
      <x:c r="E56" s="22" t="str">
        <x:f>INDEX(CopilotChanges[Productivity impact],MATCH($H56,CopilotChanges[Change ID],0))</x:f>
        <x:v>High</x:v>
      </x:c>
      <x:c r="F56" s="19" t="str">
        <x:v>Prepare a recurring project briefing from the same evidence workspace.</x:v>
      </x:c>
      <x:c r="G56" s="19" t="str">
        <x:v>Planned Frontier; M365 Copilot; verify entitlement; Not confirmed shipped by cutoff</x:v>
      </x:c>
      <x:c r="H56" s="68" t="str">
        <x:f>IFERROR(HYPERLINK("#'Change log'!A"&amp;(MATCH("COP-E5624B5D10",CopilotChanges[Change ID],0)+10),"COP-E5624B5D10"),"COP-E5624B5D10")</x:f>
        <x:v>COP-E5624B5D10</x:v>
      </x:c>
    </x:row>
    <x:row r="57" ht="58" customHeight="1">
      <x:c r="A57" s="71" t="n">
        <x:f>INDEX(CopilotChanges[Date of change / report],MATCH($H57,CopilotChanges[Change ID],0))</x:f>
        <x:v>46304</x:v>
      </x:c>
      <x:c r="B57" s="19" t="str">
        <x:v>Office in Copilot</x:v>
      </x:c>
      <x:c r="C57" s="19" t="str">
        <x:v>Live collaboration</x:v>
      </x:c>
      <x:c r="D57" s="19" t="str">
        <x:v>Coauthor, comment, and see presence in the same file.</x:v>
      </x:c>
      <x:c r="E57" s="22" t="str">
        <x:f>INDEX(CopilotChanges[Productivity impact],MATCH($H57,CopilotChanges[Change ID],0))</x:f>
        <x:v>High</x:v>
      </x:c>
      <x:c r="F57" s="19" t="str">
        <x:v>Review a proposal together while retaining the AI conversation and one authoritative document.</x:v>
      </x:c>
      <x:c r="G57" s="19" t="str">
        <x:v>Frontier rollout; M365 Copilot; verify entitlement; Chat and Cowork</x:v>
      </x:c>
      <x:c r="H57" s="68" t="str">
        <x:f>IFERROR(HYPERLINK("#'Change log'!A"&amp;(MATCH("COP-A8B323E1E1",CopilotChanges[Change ID],0)+10),"COP-A8B323E1E1"),"COP-A8B323E1E1")</x:f>
        <x:v>COP-A8B323E1E1</x:v>
      </x:c>
    </x:row>
    <x:row r="58" ht="58" customHeight="1">
      <x:c r="A58" s="71" t="n">
        <x:f>INDEX(CopilotChanges[Date of change / report],MATCH($H58,CopilotChanges[Change ID],0))</x:f>
        <x:v>46304</x:v>
      </x:c>
      <x:c r="B58" s="19" t="str">
        <x:v>Office in Copilot</x:v>
      </x:c>
      <x:c r="C58" s="19" t="str">
        <x:v>Native Office canvas</x:v>
      </x:c>
      <x:c r="D58" s="19" t="str">
        <x:v>Edit Word, Excel, and PowerPoint beside chat.</x:v>
      </x:c>
      <x:c r="E58" s="22" t="str">
        <x:f>INDEX(CopilotChanges[Productivity impact],MATCH($H58,CopilotChanges[Change ID],0))</x:f>
        <x:v>High</x:v>
      </x:c>
      <x:c r="F58" s="19" t="str">
        <x:v>Iterate on a real working file without transferring drafts between a chatbot and an editor.</x:v>
      </x:c>
      <x:c r="G58" s="19" t="str">
        <x:v>Frontier rollout; M365 Copilot; verify entitlement; Chat and Cowork</x:v>
      </x:c>
      <x:c r="H58" s="68" t="str">
        <x:f>IFERROR(HYPERLINK("#'Change log'!A"&amp;(MATCH("COP-78EA429354",CopilotChanges[Change ID],0)+10),"COP-78EA429354"),"COP-78EA429354")</x:f>
        <x:v>COP-78EA429354</x:v>
      </x:c>
    </x:row>
    <x:row r="59" ht="73" customHeight="1">
      <x:c r="A59" s="74" t="n">
        <x:f>INDEX(CopilotChanges[Date of change / report],MATCH($H59,CopilotChanges[Change ID],0))</x:f>
        <x:v>46301</x:v>
      </x:c>
      <x:c r="B59" s="19" t="str">
        <x:v>Copilot connectors</x:v>
      </x:c>
      <x:c r="C59" s="19" t="str">
        <x:v>Editable configuration</x:v>
      </x:c>
      <x:c r="D59" s="19" t="str">
        <x:v>Connector administrators can change query filters and identity mappings after creating a connection, without a support request.</x:v>
      </x:c>
      <x:c r="E59" s="22" t="str">
        <x:f>INDEX(CopilotChanges[Productivity impact],MATCH($H59,CopilotChanges[Change ID],0))</x:f>
        <x:v>Medium</x:v>
      </x:c>
      <x:c r="F59" s="19" t="str">
        <x:v>A connector owner can revise which records and identities are in scope after an organizational change.</x:v>
      </x:c>
      <x:c r="G59" s="19" t="str">
        <x:v>GA; staged rollout; License unconfirmed; Windows, Web; regions unconfirmed</x:v>
      </x:c>
      <x:c r="H59" s="68" t="str">
        <x:f>IFERROR(HYPERLINK("#'Change log'!A"&amp;(MATCH("COP-D5AF619E9C",CopilotChanges[Change ID],0)+10),"COP-D5AF619E9C"),"COP-D5AF619E9C")</x:f>
        <x:v>COP-D5AF619E9C</x:v>
      </x:c>
    </x:row>
    <x:row r="60" ht="58" customHeight="1">
      <x:c r="A60" s="74" t="n">
        <x:f>INDEX(CopilotChanges[Date of change / report],MATCH($H60,CopilotChanges[Change ID],0))</x:f>
        <x:v>46301</x:v>
      </x:c>
      <x:c r="B60" s="19" t="str">
        <x:v>Copilot Search</x:v>
      </x:c>
      <x:c r="C60" s="19" t="str">
        <x:v>Contextual chat</x:v>
      </x:c>
      <x:c r="D60" s="19" t="str">
        <x:v>Copilot Search supports a contextual conversation about search results, including follow-up questions and content generation.</x:v>
      </x:c>
      <x:c r="E60" s="22" t="str">
        <x:f>INDEX(CopilotChanges[Productivity impact],MATCH($H60,CopilotChanges[Change ID],0))</x:f>
        <x:v>High</x:v>
      </x:c>
      <x:c r="F60" s="19" t="str">
        <x:v>Turn project search results into a briefing without rebuilding the prompt context.</x:v>
      </x:c>
      <x:c r="G60" s="19" t="str">
        <x:v>GA; staged rollout; License unconfirmed; Windows, Web; regions unconfirmed</x:v>
      </x:c>
      <x:c r="H60" s="68" t="str">
        <x:f>IFERROR(HYPERLINK("#'Change log'!A"&amp;(MATCH("COP-61A4DBB7BC",CopilotChanges[Change ID],0)+10),"COP-61A4DBB7BC"),"COP-61A4DBB7BC")</x:f>
        <x:v>COP-61A4DBB7BC</x:v>
      </x:c>
    </x:row>
    <x:row r="61" ht="58" customHeight="1">
      <x:c r="A61" s="74" t="n">
        <x:f>INDEX(CopilotChanges[Date of change / report],MATCH($H61,CopilotChanges[Change ID],0))</x:f>
        <x:v>46301</x:v>
      </x:c>
      <x:c r="B61" s="19" t="str">
        <x:v>PowerPoint</x:v>
      </x:c>
      <x:c r="C61" s="19" t="str">
        <x:v>Library and folder source references (Mac)</x:v>
      </x:c>
      <x:c r="D61" s="19" t="str">
        <x:v>PowerPoint on Mac can use files in SharePoint libraries and OneDrive folders as references when generating a presentation.</x:v>
      </x:c>
      <x:c r="E61" s="22" t="str">
        <x:f>INDEX(CopilotChanges[Productivity impact],MATCH($H61,CopilotChanges[Change ID],0))</x:f>
        <x:v>Medium</x:v>
      </x:c>
      <x:c r="F61" s="19" t="str">
        <x:v>A Mac-based consultant can build a deck around documents already held in shared project storage.</x:v>
      </x:c>
      <x:c r="G61" s="19" t="str">
        <x:v>GA; staged rollout; License unconfirmed; Mac; regions unconfirmed</x:v>
      </x:c>
      <x:c r="H61" s="68" t="str">
        <x:f>IFERROR(HYPERLINK("#'Change log'!A"&amp;(MATCH("COP-EB8A6A7036",CopilotChanges[Change ID],0)+10),"COP-EB8A6A7036"),"COP-EB8A6A7036")</x:f>
        <x:v>COP-EB8A6A7036</x:v>
      </x:c>
    </x:row>
    <x:row r="62" ht="58" customHeight="1">
      <x:c r="A62" s="74" t="n">
        <x:f>INDEX(CopilotChanges[Date of change / report],MATCH($H62,CopilotChanges[Change ID],0))</x:f>
        <x:v>46301</x:v>
      </x:c>
      <x:c r="B62" s="19" t="str">
        <x:v>SharePoint administration</x:v>
      </x:c>
      <x:c r="C62" s="19" t="str">
        <x:v>Permission reporting</x:v>
      </x:c>
      <x:c r="D62" s="19" t="str">
        <x:v>A SharePoint report exposes item-level permissions granted through the Everyone and Everyone except external users groups.</x:v>
      </x:c>
      <x:c r="E62" s="22" t="str">
        <x:f>INDEX(CopilotChanges[Productivity impact],MATCH($H62,CopilotChanges[Change ID],0))</x:f>
        <x:v>Medium</x:v>
      </x:c>
      <x:c r="F62" s="19" t="str">
        <x:v>Audit broadly shared proposal or policy files before expanding AI access to the same content estate.</x:v>
      </x:c>
      <x:c r="G62" s="19" t="str">
        <x:v>GA; staged rollout; SharePoint Advanced Management; exact entitlement unconfirmed; Web; regions unconfirmed</x:v>
      </x:c>
      <x:c r="H62" s="68" t="str">
        <x:f>IFERROR(HYPERLINK("#'Change log'!A"&amp;(MATCH("COP-27677701FF",CopilotChanges[Change ID],0)+10),"COP-27677701FF"),"COP-27677701FF")</x:f>
        <x:v>COP-27677701FF</x:v>
      </x:c>
    </x:row>
    <x:row r="63" ht="58" customHeight="1">
      <x:c r="A63" s="74" t="n">
        <x:f>INDEX(CopilotChanges[Date of change / report],MATCH($H63,CopilotChanges[Change ID],0))</x:f>
        <x:v>46301</x:v>
      </x:c>
      <x:c r="B63" s="19" t="str">
        <x:v>Viva Insights</x:v>
      </x:c>
      <x:c r="C63" s="19" t="str">
        <x:v>Cowork measurement</x:v>
      </x:c>
      <x:c r="D63" s="19" t="str">
        <x:v>Insights adds Cowork adoption, impact and consumption reporting, exports, and analyst queries for usage and credit data.</x:v>
      </x:c>
      <x:c r="E63" s="22" t="str">
        <x:f>INDEX(CopilotChanges[Productivity impact],MATCH($H63,CopilotChanges[Change ID],0))</x:f>
        <x:v>Medium</x:v>
      </x:c>
      <x:c r="F63" s="19" t="str">
        <x:v>Compare a pilot group’s Cowork activity and credit demand before deciding whether to broaden deployment.</x:v>
      </x:c>
      <x:c r="G63" s="19" t="str">
        <x:v>GA; staged rollout; License unconfirmed; Web; regions unconfirmed</x:v>
      </x:c>
      <x:c r="H63" s="68" t="str">
        <x:f>IFERROR(HYPERLINK("#'Change log'!A"&amp;(MATCH("COP-E12C91EB49",CopilotChanges[Change ID],0)+10),"COP-E12C91EB49"),"COP-E12C91EB49")</x:f>
        <x:v>COP-E12C91EB49</x:v>
      </x:c>
    </x:row>
    <x:row r="64" ht="88" customHeight="1">
      <x:c r="A64" s="77" t="n">
        <x:f>INDEX(CopilotChanges[Date of change / report],MATCH($H64,CopilotChanges[Change ID],0))</x:f>
        <x:v>46296</x:v>
      </x:c>
      <x:c r="B64" s="19" t="str">
        <x:v>Copilot Business purchasing</x:v>
      </x:c>
      <x:c r="C64" s="19" t="str">
        <x:v>Default-on usage billing for new CSP purchases</x:v>
      </x:c>
      <x:c r="D64" s="19" t="str">
        <x:v>New CSP subscriptions default to PAYG; 4,000 credits/user/month spending limit.</x:v>
      </x:c>
      <x:c r="E64" s="22" t="str">
        <x:f>INDEX(CopilotChanges[Productivity impact],MATCH($H64,CopilotChanges[Change ID],0))</x:f>
        <x:v>Medium</x:v>
      </x:c>
      <x:c r="F64" s="19" t="str">
        <x:v>Set tenant budgets and explain metered charges before adding new Business seats.</x:v>
      </x:c>
      <x:c r="G64" s="19" t="str">
        <x:v>Planned; revised date; new CSP M365 Copilot Business purchases; actual usage billed, adjustable limit; initially excludes Australia, Belgium, Brazil, France, Germany, India, Italy, Korea, Netherlands, Poland, Spain</x:v>
      </x:c>
      <x:c r="H64" s="68" t="str">
        <x:f>IFERROR(HYPERLINK("#'Change log'!A"&amp;(MATCH("COP-90F0DDC2A3",CopilotChanges[Change ID],0)+10),"COP-90F0DDC2A3"),"COP-90F0DDC2A3")</x:f>
        <x:v>COP-90F0DDC2A3</x:v>
      </x:c>
    </x:row>
    <x:row r="65" ht="58" customHeight="1">
      <x:c r="A65" s="74" t="n">
        <x:f>INDEX(CopilotChanges[Date of change / report],MATCH($H65,CopilotChanges[Change ID],0))</x:f>
        <x:v>46296</x:v>
      </x:c>
      <x:c r="B65" s="19" t="str">
        <x:v>Copilot in SharePoint</x:v>
      </x:c>
      <x:c r="C65" s="19" t="str">
        <x:v>Adaptive-card workflows</x:v>
      </x:c>
      <x:c r="D65" s="19" t="str">
        <x:v>File/list changes trigger formatted Teams notifications.</x:v>
      </x:c>
      <x:c r="E65" s="22" t="str">
        <x:f>INDEX(CopilotChanges[Productivity impact],MATCH($H65,CopilotChanges[Change ID],0))</x:f>
        <x:v>High</x:v>
      </x:c>
      <x:c r="F65" s="19" t="str">
        <x:v>Route a new RFP or high-value exception into the right working conversation.</x:v>
      </x:c>
      <x:c r="G65" s="19" t="str">
        <x:v>Released / rolling out; M365 Copilot plus Power Automate access; Teams channels/chats</x:v>
      </x:c>
      <x:c r="H65" s="68" t="str">
        <x:f>IFERROR(HYPERLINK("#'Change log'!A"&amp;(MATCH("COP-701397F8CA",CopilotChanges[Change ID],0)+10),"COP-701397F8CA"),"COP-701397F8CA")</x:f>
        <x:v>COP-701397F8CA</x:v>
      </x:c>
    </x:row>
    <x:row r="66" ht="58" customHeight="1">
      <x:c r="A66" s="74" t="n">
        <x:f>INDEX(CopilotChanges[Date of change / report],MATCH($H66,CopilotChanges[Change ID],0))</x:f>
        <x:v>46296</x:v>
      </x:c>
      <x:c r="B66" s="19" t="str">
        <x:v>Copilot in SharePoint</x:v>
      </x:c>
      <x:c r="C66" s="19" t="str">
        <x:v>Advanced Autofill</x:v>
      </x:c>
      <x:c r="D66" s="19" t="str">
        <x:v>Accelerated document metadata extraction.</x:v>
      </x:c>
      <x:c r="E66" s="22" t="str">
        <x:f>INDEX(CopilotChanges[Productivity impact],MATCH($H66,CopilotChanges[Change ID],0))</x:f>
        <x:v>High</x:v>
      </x:c>
      <x:c r="F66" s="19" t="str">
        <x:v>Triage large document collections into sortable fields before human exception review.</x:v>
      </x:c>
      <x:c r="G66" s="19" t="str">
        <x:v>Rolling out; M365 Copilot plus Credits; Processing capacity varies</x:v>
      </x:c>
      <x:c r="H66" s="68" t="str">
        <x:f>IFERROR(HYPERLINK("#'Change log'!A"&amp;(MATCH("COP-943905DC50",CopilotChanges[Change ID],0)+10),"COP-943905DC50"),"COP-943905DC50")</x:f>
        <x:v>COP-943905DC50</x:v>
      </x:c>
    </x:row>
    <x:row r="67" ht="58" customHeight="1">
      <x:c r="A67" s="74" t="n">
        <x:f>INDEX(CopilotChanges[Date of change / report],MATCH($H67,CopilotChanges[Change ID],0))</x:f>
        <x:v>46296</x:v>
      </x:c>
      <x:c r="B67" s="19" t="str">
        <x:v>Copilot in SharePoint</x:v>
      </x:c>
      <x:c r="C67" s="19" t="str">
        <x:v>Conversational content analytics</x:v>
      </x:c>
      <x:c r="D67" s="19" t="str">
        <x:v>Create custom reports on content performance.</x:v>
      </x:c>
      <x:c r="E67" s="22" t="str">
        <x:f>INDEX(CopilotChanges[Productivity impact],MATCH($H67,CopilotChanges[Change ID],0))</x:f>
        <x:v>Medium</x:v>
      </x:c>
      <x:c r="F67" s="19" t="str">
        <x:v>Check whether important internal guidance reaches its intended audience.</x:v>
      </x:c>
      <x:c r="G67" s="19" t="str">
        <x:v>Rolling out; M365 Copilot plus Credits; Site owners</x:v>
      </x:c>
      <x:c r="H67" s="68" t="str">
        <x:f>IFERROR(HYPERLINK("#'Change log'!A"&amp;(MATCH("COP-3F436E94E1",CopilotChanges[Change ID],0)+10),"COP-3F436E94E1"),"COP-3F436E94E1")</x:f>
        <x:v>COP-3F436E94E1</x:v>
      </x:c>
    </x:row>
    <x:row r="68" ht="58" customHeight="1">
      <x:c r="A68" s="74" t="n">
        <x:f>INDEX(CopilotChanges[Date of change / report],MATCH($H68,CopilotChanges[Change ID],0))</x:f>
        <x:v>46296</x:v>
      </x:c>
      <x:c r="B68" s="19" t="str">
        <x:v>Copilot in SharePoint</x:v>
      </x:c>
      <x:c r="C68" s="19" t="str">
        <x:v>Email delivery</x:v>
      </x:c>
      <x:c r="D68" s="19" t="str">
        <x:v>Generate and send content as email body.</x:v>
      </x:c>
      <x:c r="E68" s="22" t="str">
        <x:f>INDEX(CopilotChanges[Productivity impact],MATCH($H68,CopilotChanges[Change ID],0))</x:f>
        <x:v>Medium</x:v>
      </x:c>
      <x:c r="F68" s="19" t="str">
        <x:v>Move from completed report to stakeholder review without copy-pasting between applications.</x:v>
      </x:c>
      <x:c r="G68" s="19" t="str">
        <x:v>Released / rolling out; M365 Copilot; verify entitlement; Message preview before sending</x:v>
      </x:c>
      <x:c r="H68" s="68" t="str">
        <x:f>IFERROR(HYPERLINK("#'Change log'!A"&amp;(MATCH("COP-2D4D8E6058",CopilotChanges[Change ID],0)+10),"COP-2D4D8E6058"),"COP-2D4D8E6058")</x:f>
        <x:v>COP-2D4D8E6058</x:v>
      </x:c>
    </x:row>
    <x:row r="69" ht="100" customHeight="1">
      <x:c r="A69" s="74" t="n">
        <x:f>INDEX(CopilotChanges[Date of change / report],MATCH($H69,CopilotChanges[Change ID],0))</x:f>
        <x:v>46296</x:v>
      </x:c>
      <x:c r="B69" s="19" t="str">
        <x:v>Copilot in SharePoint</x:v>
      </x:c>
      <x:c r="C69" s="19" t="str">
        <x:v>HTML review and publishing</x:v>
      </x:c>
      <x:c r="D69" s="19" t="str">
        <x:v>Revise through comments and publish HTML pages.</x:v>
      </x:c>
      <x:c r="E69" s="22" t="str">
        <x:f>INDEX(CopilotChanges[Productivity impact],MATCH($H69,CopilotChanges[Change ID],0))</x:f>
        <x:v>Medium</x:v>
      </x:c>
      <x:c r="F69" s="19" t="str">
        <x:v>Turn an analysis into an internal report that reviewers can refine without hand-editing HTML.</x:v>
      </x:c>
      <x:c r="G69" s="19" t="str">
        <x:v>Frontier rollout; Copilot license for AI creation/edit; ordinary SharePoint permissions for upload/edit/publish/view; site controls apply.</x:v>
      </x:c>
      <x:c r="H69" s="68" t="str">
        <x:f>IFERROR(HYPERLINK("#'Change log'!A"&amp;(MATCH("COP-72CD9AE2B3",CopilotChanges[Change ID],0)+10),"COP-72CD9AE2B3"),"COP-72CD9AE2B3")</x:f>
        <x:v>COP-72CD9AE2B3</x:v>
      </x:c>
    </x:row>
    <x:row r="70" ht="58" customHeight="1">
      <x:c r="A70" s="74" t="n">
        <x:f>INDEX(CopilotChanges[Date of change / report],MATCH($H70,CopilotChanges[Change ID],0))</x:f>
        <x:v>46296</x:v>
      </x:c>
      <x:c r="B70" s="19" t="str">
        <x:v>Copilot in SharePoint</x:v>
      </x:c>
      <x:c r="C70" s="19" t="str">
        <x:v>Image creation and editing</x:v>
      </x:c>
      <x:c r="D70" s="19" t="str">
        <x:v>Generate or modify library images.</x:v>
      </x:c>
      <x:c r="E70" s="22" t="str">
        <x:f>INDEX(CopilotChanges[Productivity impact],MATCH($H70,CopilotChanges[Change ID],0))</x:f>
        <x:v>Medium</x:v>
      </x:c>
      <x:c r="F70" s="19" t="str">
        <x:v>Prepare supporting visuals within the content library while retaining review before use.</x:v>
      </x:c>
      <x:c r="G70" s="19" t="str">
        <x:v>Rolling out; M365 Copilot plus Credits; Libraries</x:v>
      </x:c>
      <x:c r="H70" s="68" t="str">
        <x:f>IFERROR(HYPERLINK("#'Change log'!A"&amp;(MATCH("COP-27F358C9BD",CopilotChanges[Change ID],0)+10),"COP-27F358C9BD"),"COP-27F358C9BD")</x:f>
        <x:v>COP-27F358C9BD</x:v>
      </x:c>
    </x:row>
    <x:row r="71" ht="58" customHeight="1">
      <x:c r="A71" s="74" t="n">
        <x:f>INDEX(CopilotChanges[Date of change / report],MATCH($H71,CopilotChanges[Change ID],0))</x:f>
        <x:v>46296</x:v>
      </x:c>
      <x:c r="B71" s="19" t="str">
        <x:v>Copilot in SharePoint</x:v>
      </x:c>
      <x:c r="C71" s="19" t="str">
        <x:v>PDF restructuring</x:v>
      </x:c>
      <x:c r="D71" s="19" t="str">
        <x:v>Extract, insert, reorder, and split document sections.</x:v>
      </x:c>
      <x:c r="E71" s="22" t="str">
        <x:f>INDEX(CopilotChanges[Productivity impact],MATCH($H71,CopilotChanges[Change ID],0))</x:f>
        <x:v>Medium</x:v>
      </x:c>
      <x:c r="F71" s="19" t="str">
        <x:v>Assemble reviewer-specific document packs without downloading and manually rebuilding PDFs.</x:v>
      </x:c>
      <x:c r="G71" s="19" t="str">
        <x:v>Released / rolling out; M365 Copilot; verify entitlement; Platform unspecified; verify tenant access</x:v>
      </x:c>
      <x:c r="H71" s="68" t="str">
        <x:f>IFERROR(HYPERLINK("#'Change log'!A"&amp;(MATCH("COP-A70C4ADAAC",CopilotChanges[Change ID],0)+10),"COP-A70C4ADAAC"),"COP-A70C4ADAAC")</x:f>
        <x:v>COP-A70C4ADAAC</x:v>
      </x:c>
    </x:row>
    <x:row r="72" ht="58" customHeight="1">
      <x:c r="A72" s="74" t="n">
        <x:f>INDEX(CopilotChanges[Date of change / report],MATCH($H72,CopilotChanges[Change ID],0))</x:f>
        <x:v>46296</x:v>
      </x:c>
      <x:c r="B72" s="19" t="str">
        <x:v>Copilot in SharePoint</x:v>
      </x:c>
      <x:c r="C72" s="19" t="str">
        <x:v>Version review and restore</x:v>
      </x:c>
      <x:c r="D72" s="19" t="str">
        <x:v>Explain changes and recover prior versions.</x:v>
      </x:c>
      <x:c r="E72" s="22" t="str">
        <x:f>INDEX(CopilotChanges[Productivity impact],MATCH($H72,CopilotChanges[Change ID],0))</x:f>
        <x:v>Medium</x:v>
      </x:c>
      <x:c r="F72" s="19" t="str">
        <x:v>Investigate and reverse an accidental edit without manually comparing every saved version.</x:v>
      </x:c>
      <x:c r="G72" s="19" t="str">
        <x:v>Released / rolling out; M365 Copilot; verify entitlement; Platform unspecified; verify tenant access</x:v>
      </x:c>
      <x:c r="H72" s="68" t="str">
        <x:f>IFERROR(HYPERLINK("#'Change log'!A"&amp;(MATCH("COP-D09950B7E1",CopilotChanges[Change ID],0)+10),"COP-D09950B7E1"),"COP-D09950B7E1")</x:f>
        <x:v>COP-D09950B7E1</x:v>
      </x:c>
    </x:row>
    <x:row r="73" ht="58" customHeight="1">
      <x:c r="A73" s="77" t="n">
        <x:f>INDEX(CopilotChanges[Date of change / report],MATCH($H73,CopilotChanges[Change ID],0))</x:f>
        <x:v>46295</x:v>
      </x:c>
      <x:c r="B73" s="19" t="str">
        <x:v>Chat / Word / Excel / PowerPoint</x:v>
      </x:c>
      <x:c r="C73" s="19" t="str">
        <x:v>GPT-6.1 Sol and Sonnet 5.5</x:v>
      </x:c>
      <x:c r="D73" s="19" t="str">
        <x:v>Phased subscription rollout with limits.</x:v>
      </x:c>
      <x:c r="E73" s="22" t="str">
        <x:f>INDEX(CopilotChanges[Productivity impact],MATCH($H73,CopilotChanges[Change ID],0))</x:f>
        <x:v>Medium</x:v>
      </x:c>
      <x:c r="F73" s="19" t="str">
        <x:v>Test newer models for daily document work while understanding usage limits.</x:v>
      </x:c>
      <x:c r="G73" s="19" t="str">
        <x:v>Announced phased rollout; Copilot USL; limits apply; License/access/region vary</x:v>
      </x:c>
      <x:c r="H73" s="68" t="str">
        <x:f>IFERROR(HYPERLINK("#'Change log'!A"&amp;(MATCH("COP-5B7A9D79F2",CopilotChanges[Change ID],0)+10),"COP-5B7A9D79F2"),"COP-5B7A9D79F2")</x:f>
        <x:v>COP-5B7A9D79F2</x:v>
      </x:c>
    </x:row>
    <x:row r="74" ht="73" customHeight="1">
      <x:c r="A74" s="74" t="n">
        <x:f>INDEX(CopilotChanges[Date of change / report],MATCH($H74,CopilotChanges[Change ID],0))</x:f>
        <x:v>46295</x:v>
      </x:c>
      <x:c r="B74" s="19" t="str">
        <x:v>Copilot / SharePoint Framework</x:v>
      </x:c>
      <x:c r="C74" s="19" t="str">
        <x:v>Interactive chat components</x:v>
      </x:c>
      <x:c r="D74" s="19" t="str">
        <x:v>SPFx apps can present interactive chat UI.</x:v>
      </x:c>
      <x:c r="E74" s="22" t="str">
        <x:f>INDEX(CopilotChanges[Productivity impact],MATCH($H74,CopilotChanges[Change ID],0))</x:f>
        <x:v>High</x:v>
      </x:c>
      <x:c r="F74" s="19" t="str">
        <x:v>Use an approved embedded control to inspect or act on project data.</x:v>
      </x:c>
      <x:c r="G74" s="19" t="str">
        <x:v>Frontier rollout; M365 Copilot entitlement; full terms unspecified; Requires compatible SharePoint Framework app and tenant approval</x:v>
      </x:c>
      <x:c r="H74" s="68" t="str">
        <x:f>IFERROR(HYPERLINK("#'Change log'!A"&amp;(MATCH("COP-94A2764DEB",CopilotChanges[Change ID],0)+10),"COP-94A2764DEB"),"COP-94A2764DEB")</x:f>
        <x:v>COP-94A2764DEB</x:v>
      </x:c>
    </x:row>
    <x:row r="75" ht="58" customHeight="1">
      <x:c r="A75" s="71" t="n">
        <x:f>INDEX(CopilotChanges[Date of change / report],MATCH($H75,CopilotChanges[Change ID],0))</x:f>
        <x:v>46295</x:v>
      </x:c>
      <x:c r="B75" s="19" t="str">
        <x:v>Copilot administration</x:v>
      </x:c>
      <x:c r="C75" s="19" t="str">
        <x:v>Central plugin assignment</x:v>
      </x:c>
      <x:c r="D75" s="19" t="str">
        <x:v>Approve, block, and assign plugins centrally.</x:v>
      </x:c>
      <x:c r="E75" s="22" t="str">
        <x:f>INDEX(CopilotChanges[Productivity impact],MATCH($H75,CopilotChanges[Change ID],0))</x:f>
        <x:v>Medium</x:v>
      </x:c>
      <x:c r="F75" s="19" t="str">
        <x:v>Establish controlled access to external tools before users depend on them for delivery.</x:v>
      </x:c>
      <x:c r="G75" s="19" t="str">
        <x:v>Rollout started; Qualifying Microsoft cloud subscription; M365 admin center / Agent 365</x:v>
      </x:c>
      <x:c r="H75" s="68" t="str">
        <x:f>IFERROR(HYPERLINK("#'Change log'!A"&amp;(MATCH("COP-26AB6065F8",CopilotChanges[Change ID],0)+10),"COP-26AB6065F8"),"COP-26AB6065F8")</x:f>
        <x:v>COP-26AB6065F8</x:v>
      </x:c>
    </x:row>
    <x:row r="76" ht="58" customHeight="1">
      <x:c r="A76" s="74" t="n">
        <x:f>INDEX(CopilotChanges[Date of change / report],MATCH($H76,CopilotChanges[Change ID],0))</x:f>
        <x:v>46295</x:v>
      </x:c>
      <x:c r="B76" s="19" t="str">
        <x:v>Copilot Chat</x:v>
      </x:c>
      <x:c r="C76" s="19" t="str">
        <x:v>Inline skills and agents</x:v>
      </x:c>
      <x:c r="D76" s="19" t="str">
        <x:v>Invoke specialized capabilities within prompts.</x:v>
      </x:c>
      <x:c r="E76" s="22" t="str">
        <x:f>INDEX(CopilotChanges[Productivity impact],MATCH($H76,CopilotChanges[Change ID],0))</x:f>
        <x:v>Medium</x:v>
      </x:c>
      <x:c r="F76" s="19" t="str">
        <x:v>Bring reusable review instructions into a conversation without changing workspaces.</x:v>
      </x:c>
      <x:c r="G76" s="19" t="str">
        <x:v>Released / rolling out; M365 Copilot; verify entitlement; Platform unspecified; verify tenant access</x:v>
      </x:c>
      <x:c r="H76" s="68" t="str">
        <x:f>IFERROR(HYPERLINK("#'Change log'!A"&amp;(MATCH("COP-AE021F025C",CopilotChanges[Change ID],0)+10),"COP-AE021F025C"),"COP-AE021F025C")</x:f>
        <x:v>COP-AE021F025C</x:v>
      </x:c>
    </x:row>
    <x:row r="77" ht="58" customHeight="1">
      <x:c r="A77" s="74" t="n">
        <x:f>INDEX(CopilotChanges[Date of change / report],MATCH($H77,CopilotChanges[Change ID],0))</x:f>
        <x:v>46295</x:v>
      </x:c>
      <x:c r="B77" s="19" t="str">
        <x:v>Copilot Chat</x:v>
      </x:c>
      <x:c r="C77" s="19" t="str">
        <x:v>Scanned-PDF retrieval</x:v>
      </x:c>
      <x:c r="D77" s="19" t="str">
        <x:v>Improve matching of scanned document content.</x:v>
      </x:c>
      <x:c r="E77" s="22" t="str">
        <x:f>INDEX(CopilotChanges[Productivity impact],MATCH($H77,CopilotChanges[Change ID],0))</x:f>
        <x:v>Medium</x:v>
      </x:c>
      <x:c r="F77" s="19" t="str">
        <x:v>Find relevant evidence in older scanned contracts or operational records with less manual review.</x:v>
      </x:c>
      <x:c r="G77" s="19" t="str">
        <x:v>Released / rolling out; M365 Copilot; verify entitlement; Platform unspecified; verify tenant access</x:v>
      </x:c>
      <x:c r="H77" s="68" t="str">
        <x:f>IFERROR(HYPERLINK("#'Change log'!A"&amp;(MATCH("COP-DB42051F27",CopilotChanges[Change ID],0)+10),"COP-DB42051F27"),"COP-DB42051F27")</x:f>
        <x:v>COP-DB42051F27</x:v>
      </x:c>
    </x:row>
    <x:row r="78" ht="88" customHeight="1">
      <x:c r="A78" s="74" t="n">
        <x:f>INDEX(CopilotChanges[Date of change / report],MATCH($H78,CopilotChanges[Change ID],0))</x:f>
        <x:v>46295</x:v>
      </x:c>
      <x:c r="B78" s="19" t="str">
        <x:v>Copilot connectors / plugins</x:v>
      </x:c>
      <x:c r="C78" s="19" t="str">
        <x:v>September industry integrations</x:v>
      </x:c>
      <x:c r="D78" s="19" t="str">
        <x:v>Adds further specialized data and agent integrations.</x:v>
      </x:c>
      <x:c r="E78" s="22" t="str">
        <x:f>INDEX(CopilotChanges[Productivity impact],MATCH($H78,CopilotChanges[Change ID],0))</x:f>
        <x:v>High</x:v>
      </x:c>
      <x:c r="F78" s="19" t="str">
        <x:v>Explore authorized research sources for an industry briefing.</x:v>
      </x:c>
      <x:c r="G78" s="19" t="str">
        <x:v>Released / rolling out; Copilot entitlement plus partner/data rights as applicable; Examples: D&amp;B, Fiscal AI, PrivCo, PubMed, BioRender, Rystad, Webflow; provider and regional availability vary</x:v>
      </x:c>
      <x:c r="H78" s="68" t="str">
        <x:f>IFERROR(HYPERLINK("#'Change log'!A"&amp;(MATCH("COP-658B4CB2CC",CopilotChanges[Change ID],0)+10),"COP-658B4CB2CC"),"COP-658B4CB2CC")</x:f>
        <x:v>COP-658B4CB2CC</x:v>
      </x:c>
    </x:row>
    <x:row r="79" ht="73" customHeight="1">
      <x:c r="A79" s="74" t="n">
        <x:f>INDEX(CopilotChanges[Date of change / report],MATCH($H79,CopilotChanges[Change ID],0))</x:f>
        <x:v>46295</x:v>
      </x:c>
      <x:c r="B79" s="19" t="str">
        <x:v>Copilot Dashboard / Viva Pulse</x:v>
      </x:c>
      <x:c r="C79" s="19" t="str">
        <x:v>Targeted adoption surveys</x:v>
      </x:c>
      <x:c r="D79" s="19" t="str">
        <x:v>Builds survey audiences from adoption data.</x:v>
      </x:c>
      <x:c r="E79" s="22" t="str">
        <x:f>INDEX(CopilotChanges[Productivity impact],MATCH($H79,CopilotChanges[Change ID],0))</x:f>
        <x:v>Medium</x:v>
      </x:c>
      <x:c r="F79" s="19" t="str">
        <x:v>Survey a relevant adoption cohort before planning training.</x:v>
      </x:c>
      <x:c r="G79" s="19" t="str">
        <x:v>Released / rolling out; M365 Copilot entitlement; full terms unspecified; Aggregated population reporting; applicable dashboard/Pulse entitlement and roles required</x:v>
      </x:c>
      <x:c r="H79" s="68" t="str">
        <x:f>IFERROR(HYPERLINK("#'Change log'!A"&amp;(MATCH("COP-EF9E85B8AA",CopilotChanges[Change ID],0)+10),"COP-EF9E85B8AA"),"COP-EF9E85B8AA")</x:f>
        <x:v>COP-EF9E85B8AA</x:v>
      </x:c>
    </x:row>
    <x:row r="80" ht="73" customHeight="1">
      <x:c r="A80" s="71" t="n">
        <x:f>INDEX(CopilotChanges[Date of change / report],MATCH($H80,CopilotChanges[Change ID],0))</x:f>
        <x:v>46295</x:v>
      </x:c>
      <x:c r="B80" s="19" t="str">
        <x:v>Copilot developer tooling</x:v>
      </x:c>
      <x:c r="C80" s="19" t="str">
        <x:v>WIQD plugin publishing</x:v>
      </x:c>
      <x:c r="D80" s="19" t="str">
        <x:v>Build, validate, package, and publish reusable integrations.</x:v>
      </x:c>
      <x:c r="E80" s="22" t="str">
        <x:f>INDEX(CopilotChanges[Productivity impact],MATCH($H80,CopilotChanges[Change ID],0))</x:f>
        <x:v>Medium</x:v>
      </x:c>
      <x:c r="F80" s="19" t="str">
        <x:v>Package an internal workflow for repeatable deployment instead of maintaining separate integrations per app.</x:v>
      </x:c>
      <x:c r="G80" s="19" t="str">
        <x:v>Experimental preview tooling; Qualifying Microsoft cloud subscription; service-specific requirements; Supported publishing routes vary</x:v>
      </x:c>
      <x:c r="H80" s="68" t="str">
        <x:f>IFERROR(HYPERLINK("#'Change log'!A"&amp;(MATCH("COP-13CDE8DC87",CopilotChanges[Change ID],0)+10),"COP-13CDE8DC87"),"COP-13CDE8DC87")</x:f>
        <x:v>COP-13CDE8DC87</x:v>
      </x:c>
    </x:row>
    <x:row r="81" ht="58" customHeight="1">
      <x:c r="A81" s="77" t="n">
        <x:f>INDEX(CopilotChanges[Date of change / report],MATCH($H81,CopilotChanges[Change ID],0))</x:f>
        <x:v>46295</x:v>
      </x:c>
      <x:c r="B81" s="19" t="str">
        <x:v>Copilot extensibility</x:v>
      </x:c>
      <x:c r="C81" s="19" t="str">
        <x:v>Broader registry destinations</x:v>
      </x:c>
      <x:c r="D81" s="19" t="str">
        <x:v>Studio, GitHub Copilot, and Foundry support planned.</x:v>
      </x:c>
      <x:c r="E81" s="22" t="str">
        <x:f>INDEX(CopilotChanges[Productivity impact],MATCH($H81,CopilotChanges[Change ID],0))</x:f>
        <x:v>Medium</x:v>
      </x:c>
      <x:c r="F81" s="19" t="str">
        <x:v>Plan integration reuse cautiously; do not assume one package already reaches every Microsoft AI product.</x:v>
      </x:c>
      <x:c r="G81" s="19" t="str">
        <x:v>Planned; M365 Copilot; verify entitlement; No rollout date committed</x:v>
      </x:c>
      <x:c r="H81" s="68" t="str">
        <x:f>IFERROR(HYPERLINK("#'Change log'!A"&amp;(MATCH("COP-CF4024DA4D",CopilotChanges[Change ID],0)+10),"COP-CF4024DA4D"),"COP-CF4024DA4D")</x:f>
        <x:v>COP-CF4024DA4D</x:v>
      </x:c>
    </x:row>
    <x:row r="82" ht="73" customHeight="1">
      <x:c r="A82" s="71" t="n">
        <x:f>INDEX(CopilotChanges[Date of change / report],MATCH($H82,CopilotChanges[Change ID],0))</x:f>
        <x:v>46295</x:v>
      </x:c>
      <x:c r="B82" s="19" t="str">
        <x:v>Copilot extensibility</x:v>
      </x:c>
      <x:c r="C82" s="19" t="str">
        <x:v>Unified plugin registry</x:v>
      </x:c>
      <x:c r="D82" s="19" t="str">
        <x:v>Discover and govern packaged skills, connectors, and agents.</x:v>
      </x:c>
      <x:c r="E82" s="22" t="str">
        <x:f>INDEX(CopilotChanges[Productivity impact],MATCH($H82,CopilotChanges[Change ID],0))</x:f>
        <x:v>Medium</x:v>
      </x:c>
      <x:c r="F82" s="19" t="str">
        <x:v>Review a reusable integration once and deploy it more consistently across supported work experiences.</x:v>
      </x:c>
      <x:c r="G82" s="19" t="str">
        <x:v>Rollout started; Basic registry with qualifying Microsoft cloud subscriptions; partner costs vary; Supported Copilot/Office/SharePoint experiences</x:v>
      </x:c>
      <x:c r="H82" s="68" t="str">
        <x:f>IFERROR(HYPERLINK("#'Change log'!A"&amp;(MATCH("COP-70DD4AB94F",CopilotChanges[Change ID],0)+10),"COP-70DD4AB94F"),"COP-70DD4AB94F")</x:f>
        <x:v>COP-70DD4AB94F</x:v>
      </x:c>
    </x:row>
    <x:row r="83" ht="100" customHeight="1">
      <x:c r="A83" s="77" t="n">
        <x:f>INDEX(CopilotChanges[Date of change / report],MATCH($H83,CopilotChanges[Change ID],0))</x:f>
        <x:v>46295</x:v>
      </x:c>
      <x:c r="B83" s="19" t="str">
        <x:v>Copilot federated connectors</x:v>
      </x:c>
      <x:c r="C83" s="19" t="str">
        <x:v>Write, update, and delete actions</x:v>
      </x:c>
      <x:c r="D83" s="19" t="str">
        <x:v>MCP connectors gain mutation tools with user approval.</x:v>
      </x:c>
      <x:c r="E83" s="22" t="str">
        <x:f>INDEX(CopilotChanges[Productivity impact],MATCH($H83,CopilotChanges[Change ID],0))</x:f>
        <x:v>High</x:v>
      </x:c>
      <x:c r="F83" s="19" t="str">
        <x:v>Create a service ticket from an escalation and update the customer record after reviewing proposed fields.</x:v>
      </x:c>
      <x:c r="G83" s="19" t="str">
        <x:v>Supported per current documentation; M365 Copilot + connected account; admin scope and user approval; Researcher read-only. Exact rollout completion unverified.</x:v>
      </x:c>
      <x:c r="H83" s="68" t="str">
        <x:f>IFERROR(HYPERLINK("#'Change log'!A"&amp;(MATCH("COP-C7893F3B12",CopilotChanges[Change ID],0)+10),"COP-C7893F3B12"),"COP-C7893F3B12")</x:f>
        <x:v>COP-C7893F3B12</x:v>
      </x:c>
    </x:row>
    <x:row r="84" ht="73" customHeight="1">
      <x:c r="A84" s="77" t="n">
        <x:f>INDEX(CopilotChanges[Date of change / report],MATCH($H84,CopilotChanges[Change ID],0))</x:f>
        <x:v>46295</x:v>
      </x:c>
      <x:c r="B84" s="19" t="str">
        <x:v>Copilot in Edge</x:v>
      </x:c>
      <x:c r="C84" s="19" t="str">
        <x:v>Unified new-tab experience</x:v>
      </x:c>
      <x:c r="D84" s="19" t="str">
        <x:v>Combines search, chat, actions, and work content.</x:v>
      </x:c>
      <x:c r="E84" s="22" t="str">
        <x:f>INDEX(CopilotChanges[Productivity impact],MATCH($H84,CopilotChanges[Change ID],0))</x:f>
        <x:v>Medium</x:v>
      </x:c>
      <x:c r="F84" s="19" t="str">
        <x:v>Start a follow-up task from relevant work content without opening several entry points.</x:v>
      </x:c>
      <x:c r="G84" s="19" t="str">
        <x:v>October rollout announced; completion unverified; M365 Copilot entitlement; full terms unspecified; Verify tenant access and admin policy</x:v>
      </x:c>
      <x:c r="H84" s="68" t="str">
        <x:f>IFERROR(HYPERLINK("#'Change log'!A"&amp;(MATCH("COP-4A8AD86A86",CopilotChanges[Change ID],0)+10),"COP-4A8AD86A86"),"COP-4A8AD86A86")</x:f>
        <x:v>COP-4A8AD86A86</x:v>
      </x:c>
    </x:row>
    <x:row r="85" ht="58" customHeight="1">
      <x:c r="A85" s="71" t="n">
        <x:f>INDEX(CopilotChanges[Date of change / report],MATCH($H85,CopilotChanges[Change ID],0))</x:f>
        <x:v>46295</x:v>
      </x:c>
      <x:c r="B85" s="19" t="str">
        <x:v>Copilot in OneDrive</x:v>
      </x:c>
      <x:c r="C85" s="19" t="str">
        <x:v>Rebuilt experience</x:v>
      </x:c>
      <x:c r="D85" s="19" t="str">
        <x:v>Common content-work foundation with SharePoint.</x:v>
      </x:c>
      <x:c r="E85" s="22" t="str">
        <x:f>INDEX(CopilotChanges[Productivity impact],MATCH($H85,CopilotChanges[Change ID],0))</x:f>
        <x:v>Medium</x:v>
      </x:c>
      <x:c r="F85" s="19" t="str">
        <x:v>Apply similar file workflows across personal and team content locations.</x:v>
      </x:c>
      <x:c r="G85" s="19" t="str">
        <x:v>GA rollout; Same licensing approach as Copilot in SharePoint; Tenant rollout varies</x:v>
      </x:c>
      <x:c r="H85" s="68" t="str">
        <x:f>IFERROR(HYPERLINK("#'Change log'!A"&amp;(MATCH("COP-187E5CCFDD",CopilotChanges[Change ID],0)+10),"COP-187E5CCFDD"),"COP-187E5CCFDD")</x:f>
        <x:v>COP-187E5CCFDD</x:v>
      </x:c>
    </x:row>
    <x:row r="86" ht="58" customHeight="1">
      <x:c r="A86" s="71" t="n">
        <x:f>INDEX(CopilotChanges[Date of change / report],MATCH($H86,CopilotChanges[Change ID],0))</x:f>
        <x:v>46295</x:v>
      </x:c>
      <x:c r="B86" s="19" t="str">
        <x:v>Copilot in SharePoint</x:v>
      </x:c>
      <x:c r="C86" s="19" t="str">
        <x:v>General availability</x:v>
      </x:c>
      <x:c r="D86" s="19" t="str">
        <x:v>Content creation, organization, and action workflows leave preview.</x:v>
      </x:c>
      <x:c r="E86" s="22" t="str">
        <x:f>INDEX(CopilotChanges[Productivity impact],MATCH($H86,CopilotChanges[Change ID],0))</x:f>
        <x:v>High</x:v>
      </x:c>
      <x:c r="F86" s="19" t="str">
        <x:v>Consider production pilots for document-heavy operational processes.</x:v>
      </x:c>
      <x:c r="G86" s="19" t="str">
        <x:v>GA rollout started; M365 Copilot; advanced features use Credits; Tenant rollout varies</x:v>
      </x:c>
      <x:c r="H86" s="68" t="str">
        <x:f>IFERROR(HYPERLINK("#'Change log'!A"&amp;(MATCH("COP-94CA0FAD84",CopilotChanges[Change ID],0)+10),"COP-94CA0FAD84"),"COP-94CA0FAD84")</x:f>
        <x:v>COP-94CA0FAD84</x:v>
      </x:c>
    </x:row>
    <x:row r="87" ht="58" customHeight="1">
      <x:c r="A87" s="74" t="n">
        <x:f>INDEX(CopilotChanges[Date of change / report],MATCH($H87,CopilotChanges[Change ID],0))</x:f>
        <x:v>46295</x:v>
      </x:c>
      <x:c r="B87" s="19" t="str">
        <x:v>Copilot in Teams / Outlook</x:v>
      </x:c>
      <x:c r="C87" s="19" t="str">
        <x:v>Refreshed chat design</x:v>
      </x:c>
      <x:c r="D87" s="19" t="str">
        <x:v>Navigation aligns with the Copilot app.</x:v>
      </x:c>
      <x:c r="E87" s="22" t="str">
        <x:f>INDEX(CopilotChanges[Productivity impact],MATCH($H87,CopilotChanges[Change ID],0))</x:f>
        <x:v>Low</x:v>
      </x:c>
      <x:c r="F87" s="19" t="str">
        <x:v>Apply the same navigation habits across work surfaces.</x:v>
      </x:c>
      <x:c r="G87" s="19" t="str">
        <x:v>Released / rolling out; M365 Copilot entitlement; full terms unspecified; Verify tenant access and admin policy</x:v>
      </x:c>
      <x:c r="H87" s="68" t="str">
        <x:f>IFERROR(HYPERLINK("#'Change log'!A"&amp;(MATCH("COP-9D0FB1A56C",CopilotChanges[Change ID],0)+10),"COP-9D0FB1A56C"),"COP-9D0FB1A56C")</x:f>
        <x:v>COP-9D0FB1A56C</x:v>
      </x:c>
    </x:row>
    <x:row r="88" ht="58" customHeight="1">
      <x:c r="A88" s="74" t="n">
        <x:f>INDEX(CopilotChanges[Date of change / report],MATCH($H88,CopilotChanges[Change ID],0))</x:f>
        <x:v>46295</x:v>
      </x:c>
      <x:c r="B88" s="19" t="str">
        <x:v>Copilot mobile</x:v>
      </x:c>
      <x:c r="C88" s="19" t="str">
        <x:v>Record</x:v>
      </x:c>
      <x:c r="D88" s="19" t="str">
        <x:v>Capture audio with transcripts and AI summaries.</x:v>
      </x:c>
      <x:c r="E88" s="22" t="str">
        <x:f>INDEX(CopilotChanges[Productivity impact],MATCH($H88,CopilotChanges[Change ID],0))</x:f>
        <x:v>Medium</x:v>
      </x:c>
      <x:c r="F88" s="19" t="str">
        <x:v>Turn an in-person discussion into searchable notes and next steps while context is fresh.</x:v>
      </x:c>
      <x:c r="G88" s="19" t="str">
        <x:v>Released / rolling out; M365 Copilot; verify entitlement; Mobile; obtain recording permissions as appropriate</x:v>
      </x:c>
      <x:c r="H88" s="68" t="str">
        <x:f>IFERROR(HYPERLINK("#'Change log'!A"&amp;(MATCH("COP-C10F997D44",CopilotChanges[Change ID],0)+10),"COP-C10F997D44"),"COP-C10F997D44")</x:f>
        <x:v>COP-C10F997D44</x:v>
      </x:c>
    </x:row>
    <x:row r="89" ht="58" customHeight="1">
      <x:c r="A89" s="71" t="n">
        <x:f>INDEX(CopilotChanges[Date of change / report],MATCH($H89,CopilotChanges[Change ID],0))</x:f>
        <x:v>46295</x:v>
      </x:c>
      <x:c r="B89" s="19" t="str">
        <x:v>Cowork / Copilot Studio</x:v>
      </x:c>
      <x:c r="C89" s="19" t="str">
        <x:v>GPT-6.1 Sol and Sonnet 5.5</x:v>
      </x:c>
      <x:c r="D89" s="19" t="str">
        <x:v>New models begin metered rollout.</x:v>
      </x:c>
      <x:c r="E89" s="22" t="str">
        <x:f>INDEX(CopilotChanges[Productivity impact],MATCH($H89,CopilotChanges[Change ID],0))</x:f>
        <x:v>Medium</x:v>
      </x:c>
      <x:c r="F89" s="19" t="str">
        <x:v>Re-evaluate quality and cost for delegated work rather than assuming previous model tradeoffs remain unchanged.</x:v>
      </x:c>
      <x:c r="G89" s="19" t="str">
        <x:v>Rollout started; Usage-based billing; License/access/region vary</x:v>
      </x:c>
      <x:c r="H89" s="68" t="str">
        <x:f>IFERROR(HYPERLINK("#'Change log'!A"&amp;(MATCH("COP-402734ACE1",CopilotChanges[Change ID],0)+10),"COP-402734ACE1"),"COP-402734ACE1")</x:f>
        <x:v>COP-402734ACE1</x:v>
      </x:c>
    </x:row>
    <x:row r="90" ht="73" customHeight="1">
      <x:c r="A90" s="74" t="n">
        <x:f>INDEX(CopilotChanges[Date of change / report],MATCH($H90,CopilotChanges[Change ID],0))</x:f>
        <x:v>46295</x:v>
      </x:c>
      <x:c r="B90" s="19" t="str">
        <x:v>PowerPoint</x:v>
      </x:c>
      <x:c r="C90" s="19" t="str">
        <x:v>Connected-source grounding</x:v>
      </x:c>
      <x:c r="D90" s="19" t="str">
        <x:v>Uses information from connected business applications.</x:v>
      </x:c>
      <x:c r="E90" s="22" t="str">
        <x:f>INDEX(CopilotChanges[Productivity impact],MATCH($H90,CopilotChanges[Change ID],0))</x:f>
        <x:v>High</x:v>
      </x:c>
      <x:c r="F90" s="19" t="str">
        <x:v>Create a pipeline review from authorized connected-system data.</x:v>
      </x:c>
      <x:c r="G90" s="19" t="str">
        <x:v>Released / rolling out; Copilot entitlement and enabled connectors; partner/source rights may be required; Verify tenant access and admin policy</x:v>
      </x:c>
      <x:c r="H90" s="68" t="str">
        <x:f>IFERROR(HYPERLINK("#'Change log'!A"&amp;(MATCH("COP-639B0613E7",CopilotChanges[Change ID],0)+10),"COP-639B0613E7"),"COP-639B0613E7")</x:f>
        <x:v>COP-639B0613E7</x:v>
      </x:c>
    </x:row>
    <x:row r="91" ht="58" customHeight="1">
      <x:c r="A91" s="77" t="n">
        <x:f>INDEX(CopilotChanges[Date of change / report],MATCH($H91,CopilotChanges[Change ID],0))</x:f>
        <x:v>46295</x:v>
      </x:c>
      <x:c r="B91" s="19" t="str">
        <x:v>PowerPoint</x:v>
      </x:c>
      <x:c r="C91" s="19" t="str">
        <x:v>Persistent background tasks</x:v>
      </x:c>
      <x:c r="D91" s="19" t="str">
        <x:v>Long-running work continues after leaving the app.</x:v>
      </x:c>
      <x:c r="E91" s="22" t="str">
        <x:f>INDEX(CopilotChanges[Productivity impact],MATCH($H91,CopilotChanges[Change ID],0))</x:f>
        <x:v>Medium</x:v>
      </x:c>
      <x:c r="F91" s="19" t="str">
        <x:v>Delegate substantial deck work while continuing other tasks or changing devices.</x:v>
      </x:c>
      <x:c r="G91" s="19" t="str">
        <x:v>Announced October rollout; Eligible Copilot; Completion not independently verified by October 16</x:v>
      </x:c>
      <x:c r="H91" s="68" t="str">
        <x:f>IFERROR(HYPERLINK("#'Change log'!A"&amp;(MATCH("COP-CF9CCF40BA",CopilotChanges[Change ID],0)+10),"COP-CF9CCF40BA"),"COP-CF9CCF40BA")</x:f>
        <x:v>COP-CF9CCF40BA</x:v>
      </x:c>
    </x:row>
    <x:row r="92" ht="73" customHeight="1">
      <x:c r="A92" s="77" t="n">
        <x:f>INDEX(CopilotChanges[Date of change / report],MATCH($H92,CopilotChanges[Change ID],0))</x:f>
        <x:v>46295</x:v>
      </x:c>
      <x:c r="B92" s="19" t="str">
        <x:v>PowerPoint Brand Kit</x:v>
      </x:c>
      <x:c r="C92" s="19" t="str">
        <x:v>Skills inside Brand Kits</x:v>
      </x:c>
      <x:c r="D92" s="19" t="str">
        <x:v>Bundles brand guidance with reusable workflows.</x:v>
      </x:c>
      <x:c r="E92" s="22" t="str">
        <x:f>INDEX(CopilotChanges[Productivity impact],MATCH($H92,CopilotChanges[Change ID],0))</x:f>
        <x:v>Medium</x:v>
      </x:c>
      <x:c r="F92" s="19" t="str">
        <x:v>Package a recurring customer-review workflow with the approved visual kit.</x:v>
      </x:c>
      <x:c r="G92" s="19" t="str">
        <x:v>October rollout announced; completion unverified; M365 Copilot entitlement; full terms unspecified; Verify tenant access and admin policy</x:v>
      </x:c>
      <x:c r="H92" s="68" t="str">
        <x:f>IFERROR(HYPERLINK("#'Change log'!A"&amp;(MATCH("COP-11E78760EB",CopilotChanges[Change ID],0)+10),"COP-11E78760EB"),"COP-11E78760EB")</x:f>
        <x:v>COP-11E78760EB</x:v>
      </x:c>
    </x:row>
    <x:row r="93" ht="58" customHeight="1">
      <x:c r="A93" s="74" t="n">
        <x:f>INDEX(CopilotChanges[Date of change / report],MATCH($H93,CopilotChanges[Change ID],0))</x:f>
        <x:v>46295</x:v>
      </x:c>
      <x:c r="B93" s="19" t="str">
        <x:v>SharePoint / OneDrive Search</x:v>
      </x:c>
      <x:c r="C93" s="19" t="str">
        <x:v>Copilot Search becomes default</x:v>
      </x:c>
      <x:c r="D93" s="19" t="str">
        <x:v>AI-grounded search becomes the entry experience.</x:v>
      </x:c>
      <x:c r="E93" s="22" t="str">
        <x:f>INDEX(CopilotChanges[Productivity impact],MATCH($H93,CopilotChanges[Change ID],0))</x:f>
        <x:v>High</x:v>
      </x:c>
      <x:c r="F93" s="19" t="str">
        <x:v>Use a natural-language question to locate a document and inspect its grounded answer.</x:v>
      </x:c>
      <x:c r="G93" s="19" t="str">
        <x:v>Frontier rollout; M365 Copilot entitlement; full terms unspecified; Supported authorized content only; tenant rollout varies</x:v>
      </x:c>
      <x:c r="H93" s="68" t="str">
        <x:f>IFERROR(HYPERLINK("#'Change log'!A"&amp;(MATCH("COP-8A4A0E63D8",CopilotChanges[Change ID],0)+10),"COP-8A4A0E63D8"),"COP-8A4A0E63D8")</x:f>
        <x:v>COP-8A4A0E63D8</x:v>
      </x:c>
    </x:row>
    <x:row r="94" ht="73" customHeight="1">
      <x:c r="A94" s="71" t="n">
        <x:f>INDEX(CopilotChanges[Date of change / report],MATCH($H94,CopilotChanges[Change ID],0))</x:f>
        <x:v>46295</x:v>
      </x:c>
      <x:c r="B94" s="19" t="str">
        <x:v>Teams Phone Agent</x:v>
      </x:c>
      <x:c r="C94" s="19" t="str">
        <x:v>Admin-center configuration</x:v>
      </x:c>
      <x:c r="D94" s="19" t="str">
        <x:v>Configure bookings, recording, and duration in admin UI.</x:v>
      </x:c>
      <x:c r="E94" s="22" t="str">
        <x:f>INDEX(CopilotChanges[Productivity impact],MATCH($H94,CopilotChanges[Change ID],0))</x:f>
        <x:v>Medium</x:v>
      </x:c>
      <x:c r="F94" s="19" t="str">
        <x:v>Reduce dependence on scripts for common operational settings.</x:v>
      </x:c>
      <x:c r="G94" s="19" t="str">
        <x:v>GA; Teams Phone/admin prerequisites; metered Copilot Credits; funded spending policy; India excluded; Auto Attendant fallback without policy or credits</x:v>
      </x:c>
      <x:c r="H94" s="68" t="str">
        <x:f>IFERROR(HYPERLINK("#'Change log'!A"&amp;(MATCH("COP-CF04A3CD38",CopilotChanges[Change ID],0)+10),"COP-CF04A3CD38"),"COP-CF04A3CD38")</x:f>
        <x:v>COP-CF04A3CD38</x:v>
      </x:c>
    </x:row>
    <x:row r="95" ht="58" customHeight="1">
      <x:c r="A95" s="71" t="n">
        <x:f>INDEX(CopilotChanges[Date of change / report],MATCH($H95,CopilotChanges[Change ID],0))</x:f>
        <x:v>46295</x:v>
      </x:c>
      <x:c r="B95" s="19" t="str">
        <x:v>Teams Phone Agent</x:v>
      </x:c>
      <x:c r="C95" s="19" t="str">
        <x:v>Daily knowledge URL refresh</x:v>
      </x:c>
      <x:c r="D95" s="19" t="str">
        <x:v>Question-and-answer source URLs refresh daily.</x:v>
      </x:c>
      <x:c r="E95" s="22" t="str">
        <x:f>INDEX(CopilotChanges[Productivity impact],MATCH($H95,CopilotChanges[Change ID],0))</x:f>
        <x:v>Medium</x:v>
      </x:c>
      <x:c r="F95" s="19" t="str">
        <x:v>Update opening hours on the source website and verify the phone assistant after its refresh.</x:v>
      </x:c>
      <x:c r="G95" s="19" t="str">
        <x:v>Released; Teams Phone prerequisites; funded Copilot Credits spending policy; India unsupported; not real-time refresh</x:v>
      </x:c>
      <x:c r="H95" s="68" t="str">
        <x:f>IFERROR(HYPERLINK("#'Change log'!A"&amp;(MATCH("COP-0D0F43F271",CopilotChanges[Change ID],0)+10),"COP-0D0F43F271"),"COP-0D0F43F271")</x:f>
        <x:v>COP-0D0F43F271</x:v>
      </x:c>
    </x:row>
    <x:row r="96" ht="73" customHeight="1">
      <x:c r="A96" s="71" t="n">
        <x:f>INDEX(CopilotChanges[Date of change / report],MATCH($H96,CopilotChanges[Change ID],0))</x:f>
        <x:v>46295</x:v>
      </x:c>
      <x:c r="B96" s="19" t="str">
        <x:v>Teams Phone Agent</x:v>
      </x:c>
      <x:c r="C96" s="19" t="str">
        <x:v>General availability</x:v>
      </x:c>
      <x:c r="D96" s="19" t="str">
        <x:v>AI receptionist reaches GA, subject to telephony, credit and regional prerequisites.</x:v>
      </x:c>
      <x:c r="E96" s="22" t="str">
        <x:f>INDEX(CopilotChanges[Productivity impact],MATCH($H96,CopilotChanges[Change ID],0))</x:f>
        <x:v>High</x:v>
      </x:c>
      <x:c r="F96" s="19" t="str">
        <x:v>Pilot handling routine calls and routing complex cases to staff.</x:v>
      </x:c>
      <x:c r="G96" s="19" t="str">
        <x:v>GA; Teams Phone/admin prerequisites; metered Copilot Credits; funded spending policy; India excluded; Auto Attendant fallback without policy or credits</x:v>
      </x:c>
      <x:c r="H96" s="68" t="str">
        <x:f>IFERROR(HYPERLINK("#'Change log'!A"&amp;(MATCH("COP-6574106037",CopilotChanges[Change ID],0)+10),"COP-6574106037"),"COP-6574106037")</x:f>
        <x:v>COP-6574106037</x:v>
      </x:c>
    </x:row>
    <x:row r="97" ht="58" customHeight="1">
      <x:c r="A97" s="74" t="n">
        <x:f>INDEX(CopilotChanges[Date of change / report],MATCH($H97,CopilotChanges[Change ID],0))</x:f>
        <x:v>46295</x:v>
      </x:c>
      <x:c r="B97" s="19" t="str">
        <x:v>Word</x:v>
      </x:c>
      <x:c r="C97" s="19" t="str">
        <x:v>Image and shape manipulation</x:v>
      </x:c>
      <x:c r="D97" s="19" t="str">
        <x:v>Arrange and modify document visuals conversationally.</x:v>
      </x:c>
      <x:c r="E97" s="22" t="str">
        <x:f>INDEX(CopilotChanges[Productivity impact],MATCH($H97,CopilotChanges[Change ID],0))</x:f>
        <x:v>Medium</x:v>
      </x:c>
      <x:c r="F97" s="19" t="str">
        <x:v>Improve a report’s visual layout without many separate manual adjustments.</x:v>
      </x:c>
      <x:c r="G97" s="19" t="str">
        <x:v>Released / rolling out; M365 Copilot; verify entitlement; Platform unspecified; verify tenant access</x:v>
      </x:c>
      <x:c r="H97" s="68" t="str">
        <x:f>IFERROR(HYPERLINK("#'Change log'!A"&amp;(MATCH("COP-FC736446BE",CopilotChanges[Change ID],0)+10),"COP-FC736446BE"),"COP-FC736446BE")</x:f>
        <x:v>COP-FC736446BE</x:v>
      </x:c>
    </x:row>
    <x:row r="98" ht="58" customHeight="1">
      <x:c r="A98" s="74" t="n">
        <x:f>INDEX(CopilotChanges[Date of change / report],MATCH($H98,CopilotChanges[Change ID],0))</x:f>
        <x:v>46295</x:v>
      </x:c>
      <x:c r="B98" s="19" t="str">
        <x:v>Word</x:v>
      </x:c>
      <x:c r="C98" s="19" t="str">
        <x:v>Response source citations</x:v>
      </x:c>
      <x:c r="D98" s="19" t="str">
        <x:v>Show supporting work and web references.</x:v>
      </x:c>
      <x:c r="E98" s="22" t="str">
        <x:f>INDEX(CopilotChanges[Productivity impact],MATCH($H98,CopilotChanges[Change ID],0))</x:f>
        <x:v>Medium</x:v>
      </x:c>
      <x:c r="F98" s="19" t="str">
        <x:v>Check whether a statement in a draft is grounded before passing it to a client or reviewer.</x:v>
      </x:c>
      <x:c r="G98" s="19" t="str">
        <x:v>Released / rolling out; M365 Copilot; verify entitlement; Platform unspecified; verify tenant access</x:v>
      </x:c>
      <x:c r="H98" s="68" t="str">
        <x:f>IFERROR(HYPERLINK("#'Change log'!A"&amp;(MATCH("COP-E396EC488E",CopilotChanges[Change ID],0)+10),"COP-E396EC488E"),"COP-E396EC488E")</x:f>
        <x:v>COP-E396EC488E</x:v>
      </x:c>
    </x:row>
    <x:row r="99" ht="58" customHeight="1">
      <x:c r="A99" s="74" t="n">
        <x:f>INDEX(CopilotChanges[Date of change / report],MATCH($H99,CopilotChanges[Change ID],0))</x:f>
        <x:v>46295</x:v>
      </x:c>
      <x:c r="B99" s="19" t="str">
        <x:v>Word / Excel / PowerPoint</x:v>
      </x:c>
      <x:c r="C99" s="19" t="str">
        <x:v>Android editing</x:v>
      </x:c>
      <x:c r="D99" s="19" t="str">
        <x:v>Copilot-powered edits reach Android apps.</x:v>
      </x:c>
      <x:c r="E99" s="22" t="str">
        <x:f>INDEX(CopilotChanges[Productivity impact],MATCH($H99,CopilotChanges[Change ID],0))</x:f>
        <x:v>Medium</x:v>
      </x:c>
      <x:c r="F99" s="19" t="str">
        <x:v>Make substantive document updates from mobile during travel or site visits.</x:v>
      </x:c>
      <x:c r="G99" s="19" t="str">
        <x:v>Released / rolling out; M365 Copilot; verify entitlement; Android</x:v>
      </x:c>
      <x:c r="H99" s="68" t="str">
        <x:f>IFERROR(HYPERLINK("#'Change log'!A"&amp;(MATCH("COP-B596110EAE",CopilotChanges[Change ID],0)+10),"COP-B596110EAE"),"COP-B596110EAE")</x:f>
        <x:v>COP-B596110EAE</x:v>
      </x:c>
    </x:row>
    <x:row r="100" ht="73" customHeight="1">
      <x:c r="A100" s="77" t="n">
        <x:f>INDEX(CopilotChanges[Date of change / report],MATCH($H100,CopilotChanges[Change ID],0))</x:f>
        <x:v>46295</x:v>
      </x:c>
      <x:c r="B100" s="19" t="str">
        <x:v>Work IQ / SharePoint</x:v>
      </x:c>
      <x:c r="C100" s="19" t="str">
        <x:v>Content and action tools</x:v>
      </x:c>
      <x:c r="D100" s="19" t="str">
        <x:v>SharePoint intelligence and actions enter Work IQ.</x:v>
      </x:c>
      <x:c r="E100" s="22" t="str">
        <x:f>INDEX(CopilotChanges[Productivity impact],MATCH($H100,CopilotChanges[Change ID],0))</x:f>
        <x:v>High</x:v>
      </x:c>
      <x:c r="F100" s="19" t="str">
        <x:v>Build a governed content-enrichment workflow using SharePoint operations.</x:v>
      </x:c>
      <x:c r="G100" s="19" t="str">
        <x:v>Frontier rollout announced; M365 Copilot entitlement; full terms unspecified; Source says soon and rolling out September; individual availability unverified</x:v>
      </x:c>
      <x:c r="H100" s="68" t="str">
        <x:f>IFERROR(HYPERLINK("#'Change log'!A"&amp;(MATCH("COP-19B271E41B",CopilotChanges[Change ID],0)+10),"COP-19B271E41B"),"COP-19B271E41B")</x:f>
        <x:v>COP-19B271E41B</x:v>
      </x:c>
    </x:row>
    <x:row r="101" ht="58" customHeight="1">
      <x:c r="A101" s="74" t="n">
        <x:f>INDEX(CopilotChanges[Date of change / report],MATCH($H101,CopilotChanges[Change ID],0))</x:f>
        <x:v>46294</x:v>
      </x:c>
      <x:c r="B101" s="19" t="str">
        <x:v>Excel</x:v>
      </x:c>
      <x:c r="C101" s="19" t="str">
        <x:v>Editing on iPad</x:v>
      </x:c>
      <x:c r="D101" s="19" t="str">
        <x:v>Copilot editing reaches Excel on iPad.</x:v>
      </x:c>
      <x:c r="E101" s="22" t="str">
        <x:f>INDEX(CopilotChanges[Productivity impact],MATCH($H101,CopilotChanges[Change ID],0))</x:f>
        <x:v>Medium</x:v>
      </x:c>
      <x:c r="F101" s="19" t="str">
        <x:v>Adjust analysis or charts while traveling without waiting for a desktop session.</x:v>
      </x:c>
      <x:c r="G101" s="19" t="str">
        <x:v>Released / rolling out; M365 Copilot; verify entitlement; iPad</x:v>
      </x:c>
      <x:c r="H101" s="68" t="str">
        <x:f>IFERROR(HYPERLINK("#'Change log'!A"&amp;(MATCH("COP-2C4EA1E924",CopilotChanges[Change ID],0)+10),"COP-2C4EA1E924"),"COP-2C4EA1E924")</x:f>
        <x:v>COP-2C4EA1E924</x:v>
      </x:c>
    </x:row>
    <x:row r="102" ht="58" customHeight="1">
      <x:c r="A102" s="74" t="n">
        <x:f>INDEX(CopilotChanges[Date of change / report],MATCH($H102,CopilotChanges[Change ID],0))</x:f>
        <x:v>46290</x:v>
      </x:c>
      <x:c r="B102" s="19" t="str">
        <x:v>Copilot Autopilot</x:v>
      </x:c>
      <x:c r="C102" s="19" t="str">
        <x:v>Persistent personal agent</x:v>
      </x:c>
      <x:c r="D102" s="19" t="str">
        <x:v>Cloud-hosted agent continues delegated work over time.</x:v>
      </x:c>
      <x:c r="E102" s="22" t="str">
        <x:f>INDEX(CopilotChanges[Productivity impact],MATCH($H102,CopilotChanges[Change ID],0))</x:f>
        <x:v>High</x:v>
      </x:c>
      <x:c r="F102" s="19" t="str">
        <x:v>Explore sustained project follow-up with explicit boundaries rather than repeatedly issuing one-off prompts.</x:v>
      </x:c>
      <x:c r="G102" s="19" t="str">
        <x:v>Private preview expansion; Copilot license + metered usage; Access-limited; formerly Scout</x:v>
      </x:c>
      <x:c r="H102" s="68" t="str">
        <x:f>IFERROR(HYPERLINK("#'Change log'!A"&amp;(MATCH("COP-BF9A3B7BF4",CopilotChanges[Change ID],0)+10),"COP-BF9A3B7BF4"),"COP-BF9A3B7BF4")</x:f>
        <x:v>COP-BF9A3B7BF4</x:v>
      </x:c>
    </x:row>
    <x:row r="103" ht="58" customHeight="1">
      <x:c r="A103" s="77" t="n">
        <x:f>INDEX(CopilotChanges[Date of change / report],MATCH($H103,CopilotChanges[Change ID],0))</x:f>
        <x:v>46290</x:v>
      </x:c>
      <x:c r="B103" s="19" t="str">
        <x:v>Copilot Code</x:v>
      </x:c>
      <x:c r="C103" s="19" t="str">
        <x:v>Build work solutions</x:v>
      </x:c>
      <x:c r="D103" s="19" t="str">
        <x:v>Create apps and automations through natural language.</x:v>
      </x:c>
      <x:c r="E103" s="22" t="str">
        <x:f>INDEX(CopilotChanges[Productivity impact],MATCH($H103,CopilotChanges[Change ID],0))</x:f>
        <x:v>High</x:v>
      </x:c>
      <x:c r="F103" s="19" t="str">
        <x:v>Prototype a small operational tool when an ordinary document or spreadsheet is insufficient.</x:v>
      </x:c>
      <x:c r="G103" s="19" t="str">
        <x:v>Announced Frontier rollout; Copilot license + metered usage; Verify tenant</x:v>
      </x:c>
      <x:c r="H103" s="68" t="str">
        <x:f>IFERROR(HYPERLINK("#'Change log'!A"&amp;(MATCH("COP-6DAA7AF72B",CopilotChanges[Change ID],0)+10),"COP-6DAA7AF72B"),"COP-6DAA7AF72B")</x:f>
        <x:v>COP-6DAA7AF72B</x:v>
      </x:c>
    </x:row>
    <x:row r="104" ht="58" customHeight="1">
      <x:c r="A104" s="71" t="n">
        <x:f>INDEX(CopilotChanges[Date of change / report],MATCH($H104,CopilotChanges[Change ID],0))</x:f>
        <x:v>46290</x:v>
      </x:c>
      <x:c r="B104" s="19" t="str">
        <x:v>Copilot cost management</x:v>
      </x:c>
      <x:c r="C104" s="19" t="str">
        <x:v>End-user spend visibility</x:v>
      </x:c>
      <x:c r="D104" s="19" t="str">
        <x:v>Show consumed credits, balance, and usage history.</x:v>
      </x:c>
      <x:c r="E104" s="22" t="str">
        <x:f>INDEX(CopilotChanges[Productivity impact],MATCH($H104,CopilotChanges[Change ID],0))</x:f>
        <x:v>Medium</x:v>
      </x:c>
      <x:c r="F104" s="19" t="str">
        <x:v>Give practitioners enough information to compare task value with actual AI spend.</x:v>
      </x:c>
      <x:c r="G104" s="19" t="str">
        <x:v>Rollout started; Applicable Copilot Credits policy; Supported Copilot experiences</x:v>
      </x:c>
      <x:c r="H104" s="68" t="str">
        <x:f>IFERROR(HYPERLINK("#'Change log'!A"&amp;(MATCH("COP-E4614B7118",CopilotChanges[Change ID],0)+10),"COP-E4614B7118"),"COP-E4614B7118")</x:f>
        <x:v>COP-E4614B7118</x:v>
      </x:c>
    </x:row>
    <x:row r="105" ht="58" customHeight="1">
      <x:c r="A105" s="71" t="n">
        <x:f>INDEX(CopilotChanges[Date of change / report],MATCH($H105,CopilotChanges[Change ID],0))</x:f>
        <x:v>46290</x:v>
      </x:c>
      <x:c r="B105" s="19" t="str">
        <x:v>Copilot cost management</x:v>
      </x:c>
      <x:c r="C105" s="19" t="str">
        <x:v>Expanded workload scope</x:v>
      </x:c>
      <x:c r="D105" s="19" t="str">
        <x:v>Add Code and Managed Runtime to cost controls.</x:v>
      </x:c>
      <x:c r="E105" s="22" t="str">
        <x:f>INDEX(CopilotChanges[Productivity impact],MATCH($H105,CopilotChanges[Change ID],0))</x:f>
        <x:v>Medium</x:v>
      </x:c>
      <x:c r="F105" s="19" t="str">
        <x:v>Apply budgets before testing agent-created apps or development workflows.</x:v>
      </x:c>
      <x:c r="G105" s="19" t="str">
        <x:v>Rollout started; USL plus enabled metered billing; Studio-agent coverage planned October</x:v>
      </x:c>
      <x:c r="H105" s="68" t="str">
        <x:f>IFERROR(HYPERLINK("#'Change log'!A"&amp;(MATCH("COP-CE14ECA4AA",CopilotChanges[Change ID],0)+10),"COP-CE14ECA4AA"),"COP-CE14ECA4AA")</x:f>
        <x:v>COP-CE14ECA4AA</x:v>
      </x:c>
    </x:row>
    <x:row r="106" ht="58" customHeight="1">
      <x:c r="A106" s="71" t="n">
        <x:f>INDEX(CopilotChanges[Date of change / report],MATCH($H106,CopilotChanges[Change ID],0))</x:f>
        <x:v>46290</x:v>
      </x:c>
      <x:c r="B106" s="19" t="str">
        <x:v>Copilot cost management</x:v>
      </x:c>
      <x:c r="C106" s="19" t="str">
        <x:v>Group model controls</x:v>
      </x:c>
      <x:c r="D106" s="19" t="str">
        <x:v>Administrators restrict model-family access by group.</x:v>
      </x:c>
      <x:c r="E106" s="22" t="str">
        <x:f>INDEX(CopilotChanges[Productivity impact],MATCH($H106,CopilotChanges[Change ID],0))</x:f>
        <x:v>Medium</x:v>
      </x:c>
      <x:c r="F106" s="19" t="str">
        <x:v>Match expensive models to appropriate teams while allowing controlled experimentation.</x:v>
      </x:c>
      <x:c r="G106" s="19" t="str">
        <x:v>Rolling out in Cowork; Admin-configured UBB; Further workload expansion planned</x:v>
      </x:c>
      <x:c r="H106" s="68" t="str">
        <x:f>IFERROR(HYPERLINK("#'Change log'!A"&amp;(MATCH("COP-A7DDF54631",CopilotChanges[Change ID],0)+10),"COP-A7DDF54631"),"COP-A7DDF54631")</x:f>
        <x:v>COP-A7DDF54631</x:v>
      </x:c>
    </x:row>
    <x:row r="107" ht="58" customHeight="1">
      <x:c r="A107" s="71" t="n">
        <x:f>INDEX(CopilotChanges[Date of change / report],MATCH($H107,CopilotChanges[Change ID],0))</x:f>
        <x:v>46290</x:v>
      </x:c>
      <x:c r="B107" s="19" t="str">
        <x:v>Copilot cost management</x:v>
      </x:c>
      <x:c r="C107" s="19" t="str">
        <x:v>Programmatic policy management</x:v>
      </x:c>
      <x:c r="D107" s="19" t="str">
        <x:v>Manage spending policies through Microsoft Graph.</x:v>
      </x:c>
      <x:c r="E107" s="22" t="str">
        <x:f>INDEX(CopilotChanges[Productivity impact],MATCH($H107,CopilotChanges[Change ID],0))</x:f>
        <x:v>Medium</x:v>
      </x:c>
      <x:c r="F107" s="19" t="str">
        <x:v>Integrate AI consumption policy into existing governance and budget tooling.</x:v>
      </x:c>
      <x:c r="G107" s="19" t="str">
        <x:v>Rollout started; Admin-configured UBB; Admin/API access required</x:v>
      </x:c>
      <x:c r="H107" s="68" t="str">
        <x:f>IFERROR(HYPERLINK("#'Change log'!A"&amp;(MATCH("COP-74F3A00EA6",CopilotChanges[Change ID],0)+10),"COP-74F3A00EA6"),"COP-74F3A00EA6")</x:f>
        <x:v>COP-74F3A00EA6</x:v>
      </x:c>
    </x:row>
    <x:row r="108" ht="58" customHeight="1">
      <x:c r="A108" s="74" t="n">
        <x:f>INDEX(CopilotChanges[Date of change / report],MATCH($H108,CopilotChanges[Change ID],0))</x:f>
        <x:v>46290</x:v>
      </x:c>
      <x:c r="B108" s="19" t="str">
        <x:v>Copilot Cowork</x:v>
      </x:c>
      <x:c r="C108" s="19" t="str">
        <x:v>App skill</x:v>
      </x:c>
      <x:c r="D108" s="19" t="str">
        <x:v>Create and publish lightweight interactive apps.</x:v>
      </x:c>
      <x:c r="E108" s="22" t="str">
        <x:f>INDEX(CopilotChanges[Productivity impact],MATCH($H108,CopilotChanges[Change ID],0))</x:f>
        <x:v>Medium</x:v>
      </x:c>
      <x:c r="F108" s="19" t="str">
        <x:v>Prototype a simple team workflow interface from a plain-language specification.</x:v>
      </x:c>
      <x:c r="G108" s="19" t="str">
        <x:v>Frontier; M365 Copilot + metered usage; Organizational app publishing</x:v>
      </x:c>
      <x:c r="H108" s="68" t="str">
        <x:f>IFERROR(HYPERLINK("#'Change log'!A"&amp;(MATCH("COP-FAD6AB943B",CopilotChanges[Change ID],0)+10),"COP-FAD6AB943B"),"COP-FAD6AB943B")</x:f>
        <x:v>COP-FAD6AB943B</x:v>
      </x:c>
    </x:row>
    <x:row r="109" ht="58" customHeight="1">
      <x:c r="A109" s="74" t="n">
        <x:f>INDEX(CopilotChanges[Date of change / report],MATCH($H109,CopilotChanges[Change ID],0))</x:f>
        <x:v>46290</x:v>
      </x:c>
      <x:c r="B109" s="19" t="str">
        <x:v>Copilot Cowork</x:v>
      </x:c>
      <x:c r="C109" s="19" t="str">
        <x:v>Edit existing Office files</x:v>
      </x:c>
      <x:c r="D109" s="19" t="str">
        <x:v>Preserve shared files and existing version history.</x:v>
      </x:c>
      <x:c r="E109" s="22" t="str">
        <x:f>INDEX(CopilotChanges[Productivity impact],MATCH($H109,CopilotChanges[Change ID],0))</x:f>
        <x:v>High</x:v>
      </x:c>
      <x:c r="F109" s="19" t="str">
        <x:v>Update the team’s live deliverable rather than returning another detached copy.</x:v>
      </x:c>
      <x:c r="G109" s="19" t="str">
        <x:v>Released; M365 Copilot + metered usage; Word, Excel, PowerPoint in OneDrive/SharePoint</x:v>
      </x:c>
      <x:c r="H109" s="68" t="str">
        <x:f>IFERROR(HYPERLINK("#'Change log'!A"&amp;(MATCH("COP-E1DE9A8995",CopilotChanges[Change ID],0)+10),"COP-E1DE9A8995"),"COP-E1DE9A8995")</x:f>
        <x:v>COP-E1DE9A8995</x:v>
      </x:c>
    </x:row>
    <x:row r="110" ht="58" customHeight="1">
      <x:c r="A110" s="74" t="n">
        <x:f>INDEX(CopilotChanges[Date of change / report],MATCH($H110,CopilotChanges[Change ID],0))</x:f>
        <x:v>46290</x:v>
      </x:c>
      <x:c r="B110" s="19" t="str">
        <x:v>Copilot Cowork</x:v>
      </x:c>
      <x:c r="C110" s="19" t="str">
        <x:v>Event-driven tasks</x:v>
      </x:c>
      <x:c r="D110" s="19" t="str">
        <x:v>Run work after matching emails or Teams messages.</x:v>
      </x:c>
      <x:c r="E110" s="22" t="str">
        <x:f>INDEX(CopilotChanges[Productivity impact],MATCH($H110,CopilotChanges[Change ID],0))</x:f>
        <x:v>High</x:v>
      </x:c>
      <x:c r="F110" s="19" t="str">
        <x:v>Prepare a structured response workflow when a relevant project event arrives.</x:v>
      </x:c>
      <x:c r="G110" s="19" t="str">
        <x:v>Released; M365 Copilot + metered usage; Email/Teams triggers; confirm automation behavior</x:v>
      </x:c>
      <x:c r="H110" s="68" t="str">
        <x:f>IFERROR(HYPERLINK("#'Change log'!A"&amp;(MATCH("COP-4B1BA77591",CopilotChanges[Change ID],0)+10),"COP-4B1BA77591"),"COP-4B1BA77591")</x:f>
        <x:v>COP-4B1BA77591</x:v>
      </x:c>
    </x:row>
    <x:row r="111" ht="58" customHeight="1">
      <x:c r="A111" s="74" t="n">
        <x:f>INDEX(CopilotChanges[Date of change / report],MATCH($H111,CopilotChanges[Change ID],0))</x:f>
        <x:v>46290</x:v>
      </x:c>
      <x:c r="B111" s="19" t="str">
        <x:v>Copilot Cowork</x:v>
      </x:c>
      <x:c r="C111" s="19" t="str">
        <x:v>Local Edge automation GA</x:v>
      </x:c>
      <x:c r="D111" s="19" t="str">
        <x:v>Use the signed-in local browser for web tasks.</x:v>
      </x:c>
      <x:c r="E111" s="22" t="str">
        <x:f>INDEX(CopilotChanges[Productivity impact],MATCH($H111,CopilotChanges[Change ID],0))</x:f>
        <x:v>High</x:v>
      </x:c>
      <x:c r="F111" s="19" t="str">
        <x:v>Work through a web-only business system when no connector exposes the needed operation.</x:v>
      </x:c>
      <x:c r="G111" s="19" t="str">
        <x:v>GA; M365 Copilot + metered usage; Microsoft Edge installed; organizational policies apply</x:v>
      </x:c>
      <x:c r="H111" s="68" t="str">
        <x:f>IFERROR(HYPERLINK("#'Change log'!A"&amp;(MATCH("COP-1974CC4BFF",CopilotChanges[Change ID],0)+10),"COP-1974CC4BFF"),"COP-1974CC4BFF")</x:f>
        <x:v>COP-1974CC4BFF</x:v>
      </x:c>
    </x:row>
    <x:row r="112" ht="58" customHeight="1">
      <x:c r="A112" s="74" t="n">
        <x:f>INDEX(CopilotChanges[Date of change / report],MATCH($H112,CopilotChanges[Change ID],0))</x:f>
        <x:v>46290</x:v>
      </x:c>
      <x:c r="B112" s="19" t="str">
        <x:v>Copilot Cowork mobile</x:v>
      </x:c>
      <x:c r="C112" s="19" t="str">
        <x:v>Mobile plugin configuration</x:v>
      </x:c>
      <x:c r="D112" s="19" t="str">
        <x:v>Discover and configure plugins on mobile.</x:v>
      </x:c>
      <x:c r="E112" s="22" t="str">
        <x:f>INDEX(CopilotChanges[Productivity impact],MATCH($H112,CopilotChanges[Change ID],0))</x:f>
        <x:v>Medium</x:v>
      </x:c>
      <x:c r="F112" s="19" t="str">
        <x:v>Access a configured business workflow while away from a desktop.</x:v>
      </x:c>
      <x:c r="G112" s="19" t="str">
        <x:v>Released; M365 Copilot + metered usage; Copilot mobile app</x:v>
      </x:c>
      <x:c r="H112" s="68" t="str">
        <x:f>IFERROR(HYPERLINK("#'Change log'!A"&amp;(MATCH("COP-6F0845FBAC",CopilotChanges[Change ID],0)+10),"COP-6F0845FBAC"),"COP-6F0845FBAC")</x:f>
        <x:v>COP-6F0845FBAC</x:v>
      </x:c>
    </x:row>
    <x:row r="113" ht="58" customHeight="1">
      <x:c r="A113" s="74" t="n">
        <x:f>INDEX(CopilotChanges[Date of change / report],MATCH($H113,CopilotChanges[Change ID],0))</x:f>
        <x:v>46290</x:v>
      </x:c>
      <x:c r="B113" s="19" t="str">
        <x:v>Copilot Cowork plugins</x:v>
      </x:c>
      <x:c r="C113" s="19" t="str">
        <x:v>File inputs to tools</x:v>
      </x:c>
      <x:c r="D113" s="19" t="str">
        <x:v>Pass workspace files into plugin tools.</x:v>
      </x:c>
      <x:c r="E113" s="22" t="str">
        <x:f>INDEX(CopilotChanges[Productivity impact],MATCH($H113,CopilotChanges[Change ID],0))</x:f>
        <x:v>Medium</x:v>
      </x:c>
      <x:c r="F113" s="19" t="str">
        <x:v>Let a connected service process the actual working document instead of pasting extracted text.</x:v>
      </x:c>
      <x:c r="G113" s="19" t="str">
        <x:v>Released; M365 Copilot + metered usage; Plugin author must support the file input contract</x:v>
      </x:c>
      <x:c r="H113" s="68" t="str">
        <x:f>IFERROR(HYPERLINK("#'Change log'!A"&amp;(MATCH("COP-83EA9686EA",CopilotChanges[Change ID],0)+10),"COP-83EA9686EA"),"COP-83EA9686EA")</x:f>
        <x:v>COP-83EA9686EA</x:v>
      </x:c>
    </x:row>
    <x:row r="114" ht="58" customHeight="1">
      <x:c r="A114" s="77" t="n">
        <x:f>INDEX(CopilotChanges[Date of change / report],MATCH($H114,CopilotChanges[Change ID],0))</x:f>
        <x:v>46290</x:v>
      </x:c>
      <x:c r="B114" s="19" t="str">
        <x:v>Copilot Home</x:v>
      </x:c>
      <x:c r="C114" s="19" t="str">
        <x:v>Unified starting point</x:v>
      </x:c>
      <x:c r="D114" s="19" t="str">
        <x:v>Chat and Cowork share a Home experience.</x:v>
      </x:c>
      <x:c r="E114" s="22" t="str">
        <x:f>INDEX(CopilotChanges[Productivity impact],MATCH($H114,CopilotChanges[Change ID],0))</x:f>
        <x:v>Medium</x:v>
      </x:c>
      <x:c r="F114" s="19" t="str">
        <x:v>Choose between a quick answer and a delegated deliverable from the same work hub.</x:v>
      </x:c>
      <x:c r="G114" s="19" t="str">
        <x:v>Announced Frontier rollout; M365 Copilot; verify entitlement; Verify tenant; announcement does not prove completed rollout</x:v>
      </x:c>
      <x:c r="H114" s="68" t="str">
        <x:f>IFERROR(HYPERLINK("#'Change log'!A"&amp;(MATCH("COP-B42362CB6A",CopilotChanges[Change ID],0)+10),"COP-B42362CB6A"),"COP-B42362CB6A")</x:f>
        <x:v>COP-B42362CB6A</x:v>
      </x:c>
    </x:row>
    <x:row r="115" ht="58" customHeight="1">
      <x:c r="A115" s="71" t="n">
        <x:f>INDEX(CopilotChanges[Date of change / report],MATCH($H115,CopilotChanges[Change ID],0))</x:f>
        <x:v>46290</x:v>
      </x:c>
      <x:c r="B115" s="19" t="str">
        <x:v>Copilot pricing</x:v>
      </x:c>
      <x:c r="C115" s="19" t="str">
        <x:v>Everyday versus advanced usage</x:v>
      </x:c>
      <x:c r="D115" s="19" t="str">
        <x:v>Subscription covers everyday AI; advanced work uses credits.</x:v>
      </x:c>
      <x:c r="E115" s="22" t="str">
        <x:f>INDEX(CopilotChanges[Productivity impact],MATCH($H115,CopilotChanges[Change ID],0))</x:f>
        <x:v>Medium</x:v>
      </x:c>
      <x:c r="F115" s="19" t="str">
        <x:v>Separate fixed-seat cost from delegated-work spend in project budgets.</x:v>
      </x:c>
      <x:c r="G115" s="19" t="str">
        <x:v>Published policy; USL prerequisite for advanced UBB; Copilot Credits; Commercial services; individual limits vary</x:v>
      </x:c>
      <x:c r="H115" s="68" t="str">
        <x:f>IFERROR(HYPERLINK("#'Change log'!A"&amp;(MATCH("COP-5FACD1A57D",CopilotChanges[Change ID],0)+10),"COP-5FACD1A57D"),"COP-5FACD1A57D")</x:f>
        <x:v>COP-5FACD1A57D</x:v>
      </x:c>
    </x:row>
    <x:row r="116" ht="58" customHeight="1">
      <x:c r="A116" s="74" t="n">
        <x:f>INDEX(CopilotChanges[Date of change / report],MATCH($H116,CopilotChanges[Change ID],0))</x:f>
        <x:v>46288</x:v>
      </x:c>
      <x:c r="B116" s="19" t="str">
        <x:v>Copilot administration</x:v>
      </x:c>
      <x:c r="C116" s="19" t="str">
        <x:v>License queue</x:v>
      </x:c>
      <x:c r="D116" s="19" t="str">
        <x:v>A dedicated M365 administration page collects user requests for Copilot licenses for review and management.</x:v>
      </x:c>
      <x:c r="E116" s="22" t="str">
        <x:f>INDEX(CopilotChanges[Productivity impact],MATCH($H116,CopilotChanges[Change ID],0))</x:f>
        <x:v>Low</x:v>
      </x:c>
      <x:c r="F116" s="19" t="str">
        <x:v>An administrator can triage staff requests in one place during a staged Copilot deployment.</x:v>
      </x:c>
      <x:c r="G116" s="19" t="str">
        <x:v>GA; staged rollout; License unconfirmed; Web; regions unconfirmed</x:v>
      </x:c>
      <x:c r="H116" s="68" t="str">
        <x:f>IFERROR(HYPERLINK("#'Change log'!A"&amp;(MATCH("COP-8EB55EFFD3",CopilotChanges[Change ID],0)+10),"COP-8EB55EFFD3"),"COP-8EB55EFFD3")</x:f>
        <x:v>COP-8EB55EFFD3</x:v>
      </x:c>
    </x:row>
    <x:row r="117" ht="58" customHeight="1">
      <x:c r="A117" s="74" t="n">
        <x:f>INDEX(CopilotChanges[Date of change / report],MATCH($H117,CopilotChanges[Change ID],0))</x:f>
        <x:v>46288</x:v>
      </x:c>
      <x:c r="B117" s="19" t="str">
        <x:v>Copilot administration</x:v>
      </x:c>
      <x:c r="C117" s="19" t="str">
        <x:v>Policy redirect</x:v>
      </x:c>
      <x:c r="D117" s="19" t="str">
        <x:v>Admins can show an internal guidance link when users are blocked from Copilot Chat.</x:v>
      </x:c>
      <x:c r="E117" s="22" t="str">
        <x:f>INDEX(CopilotChanges[Productivity impact],MATCH($H117,CopilotChanges[Change ID],0))</x:f>
        <x:v>Low</x:v>
      </x:c>
      <x:c r="F117" s="19" t="str">
        <x:v>Route blocked users to the organization’s actual AI-use policy instead of leaving them with an unexplained denial.</x:v>
      </x:c>
      <x:c r="G117" s="19" t="str">
        <x:v>GA; staged rollout; License unconfirmed; Windows, Mac, Web; regions unconfirmed</x:v>
      </x:c>
      <x:c r="H117" s="68" t="str">
        <x:f>IFERROR(HYPERLINK("#'Change log'!A"&amp;(MATCH("COP-CF43D5C246",CopilotChanges[Change ID],0)+10),"COP-CF43D5C246"),"COP-CF43D5C246")</x:f>
        <x:v>COP-CF43D5C246</x:v>
      </x:c>
    </x:row>
    <x:row r="118" ht="58" customHeight="1">
      <x:c r="A118" s="74" t="n">
        <x:f>INDEX(CopilotChanges[Date of change / report],MATCH($H118,CopilotChanges[Change ID],0))</x:f>
        <x:v>46288</x:v>
      </x:c>
      <x:c r="B118" s="19" t="str">
        <x:v>Copilot Chat</x:v>
      </x:c>
      <x:c r="C118" s="19" t="str">
        <x:v>Meeting retrieval</x:v>
      </x:c>
      <x:c r="D118" s="19" t="str">
        <x:v>Find meetings by discussed topics; transcript search covers only the preceding two months.</x:v>
      </x:c>
      <x:c r="E118" s="22" t="str">
        <x:f>INDEX(CopilotChanges[Productivity impact],MATCH($H118,CopilotChanges[Change ID],0))</x:f>
        <x:v>Medium</x:v>
      </x:c>
      <x:c r="F118" s="19" t="str">
        <x:v>Find a recent discussion by subject when you cannot remember its meeting title.</x:v>
      </x:c>
      <x:c r="G118" s="19" t="str">
        <x:v>GA; staged rollout; License unconfirmed; Android, Windows, iOS, Mac; regions unconfirmed</x:v>
      </x:c>
      <x:c r="H118" s="68" t="str">
        <x:f>IFERROR(HYPERLINK("#'Change log'!A"&amp;(MATCH("COP-AA96B18650",CopilotChanges[Change ID],0)+10),"COP-AA96B18650"),"COP-AA96B18650")</x:f>
        <x:v>COP-AA96B18650</x:v>
      </x:c>
    </x:row>
    <x:row r="119" ht="58" customHeight="1">
      <x:c r="A119" s="74" t="n">
        <x:f>INDEX(CopilotChanges[Date of change / report],MATCH($H119,CopilotChanges[Change ID],0))</x:f>
        <x:v>46288</x:v>
      </x:c>
      <x:c r="B119" s="19" t="str">
        <x:v>Copilot Chat / Places</x:v>
      </x:c>
      <x:c r="C119" s="19" t="str">
        <x:v>Workspace cards</x:v>
      </x:c>
      <x:c r="D119" s="19" t="str">
        <x:v>Places buildings, rooms and desks gain profile cards in Copilot Chat and other M365 surfaces.</x:v>
      </x:c>
      <x:c r="E119" s="22" t="str">
        <x:f>INDEX(CopilotChanges[Productivity impact],MATCH($H119,CopilotChanges[Change ID],0))</x:f>
        <x:v>Low</x:v>
      </x:c>
      <x:c r="F119" s="19" t="str">
        <x:v>Check a workplace location while coordinating an in-person project session.</x:v>
      </x:c>
      <x:c r="G119" s="19" t="str">
        <x:v>GA; staged rollout; License unconfirmed; Windows; requires Places directory data; regions unconfirmed</x:v>
      </x:c>
      <x:c r="H119" s="68" t="str">
        <x:f>IFERROR(HYPERLINK("#'Change log'!A"&amp;(MATCH("COP-C44AEF5D24",CopilotChanges[Change ID],0)+10),"COP-C44AEF5D24"),"COP-C44AEF5D24")</x:f>
        <x:v>COP-C44AEF5D24</x:v>
      </x:c>
    </x:row>
    <x:row r="120" ht="58" customHeight="1">
      <x:c r="A120" s="74" t="n">
        <x:f>INDEX(CopilotChanges[Date of change / report],MATCH($H120,CopilotChanges[Change ID],0))</x:f>
        <x:v>46288</x:v>
      </x:c>
      <x:c r="B120" s="19" t="str">
        <x:v>Copilot connectors</x:v>
      </x:c>
      <x:c r="C120" s="19" t="str">
        <x:v>Admin diagnostics</x:v>
      </x:c>
      <x:c r="D120" s="19" t="str">
        <x:v>Connector administration gains setup guidance, editable settings, more actionable error information and alerting support.</x:v>
      </x:c>
      <x:c r="E120" s="22" t="str">
        <x:f>INDEX(CopilotChanges[Productivity impact],MATCH($H120,CopilotChanges[Change ID],0))</x:f>
        <x:v>Medium</x:v>
      </x:c>
      <x:c r="F120" s="19" t="str">
        <x:v>Diagnose a failed connector setup or deteriorating connection before users report missing information.</x:v>
      </x:c>
      <x:c r="G120" s="19" t="str">
        <x:v>GA; staged rollout; License unconfirmed; Web; regions unconfirmed</x:v>
      </x:c>
      <x:c r="H120" s="68" t="str">
        <x:f>IFERROR(HYPERLINK("#'Change log'!A"&amp;(MATCH("COP-20459550D0",CopilotChanges[Change ID],0)+10),"COP-20459550D0"),"COP-20459550D0")</x:f>
        <x:v>COP-20459550D0</x:v>
      </x:c>
    </x:row>
    <x:row r="121" ht="58" customHeight="1">
      <x:c r="A121" s="74" t="n">
        <x:f>INDEX(CopilotChanges[Date of change / report],MATCH($H121,CopilotChanges[Change ID],0))</x:f>
        <x:v>46288</x:v>
      </x:c>
      <x:c r="B121" s="19" t="str">
        <x:v>Copilot Notebooks</x:v>
      </x:c>
      <x:c r="C121" s="19" t="str">
        <x:v>Reference shortcut</x:v>
      </x:c>
      <x:c r="D121" s="19" t="str">
        <x:v>The Search Quick Access area provides a shortcut for adding references to a Copilot Notebook.</x:v>
      </x:c>
      <x:c r="E121" s="22" t="str">
        <x:f>INDEX(CopilotChanges[Productivity impact],MATCH($H121,CopilotChanges[Change ID],0))</x:f>
        <x:v>Low</x:v>
      </x:c>
      <x:c r="F121" s="19" t="str">
        <x:v>Collect a useful search result into a project notebook while researching instead of locating it again later.</x:v>
      </x:c>
      <x:c r="G121" s="19" t="str">
        <x:v>GA; staged rollout; License unconfirmed; Web; regions unconfirmed</x:v>
      </x:c>
      <x:c r="H121" s="68" t="str">
        <x:f>IFERROR(HYPERLINK("#'Change log'!A"&amp;(MATCH("COP-4AB99A3312",CopilotChanges[Change ID],0)+10),"COP-4AB99A3312"),"COP-4AB99A3312")</x:f>
        <x:v>COP-4AB99A3312</x:v>
      </x:c>
    </x:row>
    <x:row r="122" ht="58" customHeight="1">
      <x:c r="A122" s="74" t="n">
        <x:f>INDEX(CopilotChanges[Date of change / report],MATCH($H122,CopilotChanges[Change ID],0))</x:f>
        <x:v>46288</x:v>
      </x:c>
      <x:c r="B122" s="19" t="str">
        <x:v>Copilot Notebooks</x:v>
      </x:c>
      <x:c r="C122" s="19" t="str">
        <x:v>Unified project notebook layout (GA milestone)</x:v>
      </x:c>
      <x:c r="D122" s="19" t="str">
        <x:v>Notebook layout groups project chats, sources and outputs in a workspace with persistent context.</x:v>
      </x:c>
      <x:c r="E122" s="22" t="str">
        <x:f>INDEX(CopilotChanges[Productivity impact],MATCH($H122,CopilotChanges[Change ID],0))</x:f>
        <x:v>High</x:v>
      </x:c>
      <x:c r="F122" s="19" t="str">
        <x:v>Keep project conversations, references, and produced work together so a later session can resume with context.</x:v>
      </x:c>
      <x:c r="G122" s="19" t="str">
        <x:v>GA; staged rollout; License unconfirmed; Web; regions unconfirmed</x:v>
      </x:c>
      <x:c r="H122" s="68" t="str">
        <x:f>IFERROR(HYPERLINK("#'Change log'!A"&amp;(MATCH("COP-58BBAFCF10",CopilotChanges[Change ID],0)+10),"COP-58BBAFCF10"),"COP-58BBAFCF10")</x:f>
        <x:v>COP-58BBAFCF10</x:v>
      </x:c>
    </x:row>
    <x:row r="123" ht="58" customHeight="1">
      <x:c r="A123" s="74" t="n">
        <x:f>INDEX(CopilotChanges[Date of change / report],MATCH($H123,CopilotChanges[Change ID],0))</x:f>
        <x:v>46288</x:v>
      </x:c>
      <x:c r="B123" s="19" t="str">
        <x:v>Copilot Search</x:v>
      </x:c>
      <x:c r="C123" s="19" t="str">
        <x:v>Attachment shortcuts</x:v>
      </x:c>
      <x:c r="D123" s="19" t="str">
        <x:v>Email search results expose attachments as directly accessible file pills, without requiring the message to be opened first.</x:v>
      </x:c>
      <x:c r="E123" s="22" t="str">
        <x:f>INDEX(CopilotChanges[Productivity impact],MATCH($H123,CopilotChanges[Change ID],0))</x:f>
        <x:v>Low</x:v>
      </x:c>
      <x:c r="F123" s="19" t="str">
        <x:v>Open the relevant attachment from a search result when collecting evidence for a bid response.</x:v>
      </x:c>
      <x:c r="G123" s="19" t="str">
        <x:v>GA; staged rollout; License unconfirmed; Windows, Web; regions unconfirmed</x:v>
      </x:c>
      <x:c r="H123" s="68" t="str">
        <x:f>IFERROR(HYPERLINK("#'Change log'!A"&amp;(MATCH("COP-27C4D1D5A4",CopilotChanges[Change ID],0)+10),"COP-27C4D1D5A4"),"COP-27C4D1D5A4")</x:f>
        <x:v>COP-27C4D1D5A4</x:v>
      </x:c>
    </x:row>
    <x:row r="124" ht="58" customHeight="1">
      <x:c r="A124" s="74" t="n">
        <x:f>INDEX(CopilotChanges[Date of change / report],MATCH($H124,CopilotChanges[Change ID],0))</x:f>
        <x:v>46288</x:v>
      </x:c>
      <x:c r="B124" s="19" t="str">
        <x:v>Copilot Search</x:v>
      </x:c>
      <x:c r="C124" s="19" t="str">
        <x:v>Mail ordering</x:v>
      </x:c>
      <x:c r="D124" s="19" t="str">
        <x:v>Copilot Search can order Outlook email results by date in either direction.</x:v>
      </x:c>
      <x:c r="E124" s="22" t="str">
        <x:f>INDEX(CopilotChanges[Productivity impact],MATCH($H124,CopilotChanges[Change ID],0))</x:f>
        <x:v>Low</x:v>
      </x:c>
      <x:c r="F124" s="19" t="str">
        <x:v>Check the newest exchange first when a decision has changed across several email threads.</x:v>
      </x:c>
      <x:c r="G124" s="19" t="str">
        <x:v>GA; staged rollout; License unconfirmed; Windows, Web; regions unconfirmed</x:v>
      </x:c>
      <x:c r="H124" s="68" t="str">
        <x:f>IFERROR(HYPERLINK("#'Change log'!A"&amp;(MATCH("COP-04A646015E",CopilotChanges[Change ID],0)+10),"COP-04A646015E"),"COP-04A646015E")</x:f>
        <x:v>COP-04A646015E</x:v>
      </x:c>
    </x:row>
    <x:row r="125" ht="58" customHeight="1">
      <x:c r="A125" s="74" t="n">
        <x:f>INDEX(CopilotChanges[Date of change / report],MATCH($H125,CopilotChanges[Change ID],0))</x:f>
        <x:v>46288</x:v>
      </x:c>
      <x:c r="B125" s="19" t="str">
        <x:v>Copilot Vision</x:v>
      </x:c>
      <x:c r="C125" s="19" t="str">
        <x:v>Vision with screen or camera context (GA milestone)</x:v>
      </x:c>
      <x:c r="D125" s="19" t="str">
        <x:v>Copilot can discuss shared desktop-screen content or a live mobile-camera view during supported voice interactions.</x:v>
      </x:c>
      <x:c r="E125" s="22" t="str">
        <x:f>INDEX(CopilotChanges[Productivity impact],MATCH($H125,CopilotChanges[Change ID],0))</x:f>
        <x:v>High</x:v>
      </x:c>
      <x:c r="F125" s="19" t="str">
        <x:v>Discuss visible work material during a voice session, subject to appropriate controls on what is shared.</x:v>
      </x:c>
      <x:c r="G125" s="19" t="str">
        <x:v>GA; staged rollout; License unconfirmed; Android, Windows, iOS, Web; regions unconfirmed</x:v>
      </x:c>
      <x:c r="H125" s="68" t="str">
        <x:f>IFERROR(HYPERLINK("#'Change log'!A"&amp;(MATCH("COP-EA6630ACE8",CopilotChanges[Change ID],0)+10),"COP-EA6630ACE8"),"COP-EA6630ACE8")</x:f>
        <x:v>COP-EA6630ACE8</x:v>
      </x:c>
    </x:row>
    <x:row r="126" ht="58" customHeight="1">
      <x:c r="A126" s="74" t="n">
        <x:f>INDEX(CopilotChanges[Date of change / report],MATCH($H126,CopilotChanges[Change ID],0))</x:f>
        <x:v>46288</x:v>
      </x:c>
      <x:c r="B126" s="19" t="str">
        <x:v>Excel</x:v>
      </x:c>
      <x:c r="C126" s="19" t="str">
        <x:v>AI attribution</x:v>
      </x:c>
      <x:c r="D126" s="19" t="str">
        <x:v>Excel’s Show Changes pane identifies Copilot edits or suggestions on attribution cards alongside manually made changes.</x:v>
      </x:c>
      <x:c r="E126" s="22" t="str">
        <x:f>INDEX(CopilotChanges[Productivity impact],MATCH($H126,CopilotChanges[Change ID],0))</x:f>
        <x:v>Medium</x:v>
      </x:c>
      <x:c r="F126" s="19" t="str">
        <x:v>During workbook review, distinguish Copilot-assisted activity from other edits before investigating a discrepancy.</x:v>
      </x:c>
      <x:c r="G126" s="19" t="str">
        <x:v>GA; staged rollout; License unconfirmed; Windows, Mac, Web; regions unconfirmed</x:v>
      </x:c>
      <x:c r="H126" s="68" t="str">
        <x:f>IFERROR(HYPERLINK("#'Change log'!A"&amp;(MATCH("COP-D756DD0AD0",CopilotChanges[Change ID],0)+10),"COP-D756DD0AD0"),"COP-D756DD0AD0")</x:f>
        <x:v>COP-D756DD0AD0</x:v>
      </x:c>
    </x:row>
    <x:row r="127" ht="58" customHeight="1">
      <x:c r="A127" s="74" t="n">
        <x:f>INDEX(CopilotChanges[Date of change / report],MATCH($H127,CopilotChanges[Change ID],0))</x:f>
        <x:v>46288</x:v>
      </x:c>
      <x:c r="B127" s="19" t="str">
        <x:v>Excel</x:v>
      </x:c>
      <x:c r="C127" s="19" t="str">
        <x:v>Edit navigation</x:v>
      </x:c>
      <x:c r="D127" s="19" t="str">
        <x:v>Excel response links take users directly to sheets, ranges, tables and other objects changed by Copilot.</x:v>
      </x:c>
      <x:c r="E127" s="22" t="str">
        <x:f>INDEX(CopilotChanges[Productivity impact],MATCH($H127,CopilotChanges[Change ID],0))</x:f>
        <x:v>Medium</x:v>
      </x:c>
      <x:c r="F127" s="19" t="str">
        <x:v>Inspect the output of a multi-sheet transformation without hunting through tabs and objects.</x:v>
      </x:c>
      <x:c r="G127" s="19" t="str">
        <x:v>GA; staged rollout; License unconfirmed; Windows, Web, Mac; regions unconfirmed</x:v>
      </x:c>
      <x:c r="H127" s="68" t="str">
        <x:f>IFERROR(HYPERLINK("#'Change log'!A"&amp;(MATCH("COP-5934EC7C13",CopilotChanges[Change ID],0)+10),"COP-5934EC7C13"),"COP-5934EC7C13")</x:f>
        <x:v>COP-5934EC7C13</x:v>
      </x:c>
    </x:row>
    <x:row r="128" ht="58" customHeight="1">
      <x:c r="A128" s="74" t="n">
        <x:f>INDEX(CopilotChanges[Date of change / report],MATCH($H128,CopilotChanges[Change ID],0))</x:f>
        <x:v>46288</x:v>
      </x:c>
      <x:c r="B128" s="19" t="str">
        <x:v>Forms</x:v>
      </x:c>
      <x:c r="C128" s="19" t="str">
        <x:v>Embedded Copilot</x:v>
      </x:c>
      <x:c r="D128" s="19" t="str">
        <x:v>Forms includes a Copilot pane for improving questionnaires, handling invitations and examining submitted responses.</x:v>
      </x:c>
      <x:c r="E128" s="22" t="str">
        <x:f>INDEX(CopilotChanges[Productivity impact],MATCH($H128,CopilotChanges[Change ID],0))</x:f>
        <x:v>Medium</x:v>
      </x:c>
      <x:c r="F128" s="19" t="str">
        <x:v>Refine a feedback questionnaire and examine its responses without moving to a separate chat surface.</x:v>
      </x:c>
      <x:c r="G128" s="19" t="str">
        <x:v>GA; staged rollout; M365 Copilot business license; Web; regions unconfirmed</x:v>
      </x:c>
      <x:c r="H128" s="68" t="str">
        <x:f>IFERROR(HYPERLINK("#'Change log'!A"&amp;(MATCH("COP-17F6C35CF2",CopilotChanges[Change ID],0)+10),"COP-17F6C35CF2"),"COP-17F6C35CF2")</x:f>
        <x:v>COP-17F6C35CF2</x:v>
      </x:c>
    </x:row>
    <x:row r="129" ht="58" customHeight="1">
      <x:c r="A129" s="74" t="n">
        <x:f>INDEX(CopilotChanges[Date of change / report],MATCH($H129,CopilotChanges[Change ID],0))</x:f>
        <x:v>46288</x:v>
      </x:c>
      <x:c r="B129" s="19" t="str">
        <x:v>Outlook</x:v>
      </x:c>
      <x:c r="C129" s="19" t="str">
        <x:v>Expanded inbox actions</x:v>
      </x:c>
      <x:c r="D129" s="19" t="str">
        <x:v>Move, copy, categorize, delete, manage rules.</x:v>
      </x:c>
      <x:c r="E129" s="22" t="str">
        <x:f>INDEX(CopilotChanges[Productivity impact],MATCH($H129,CopilotChanges[Change ID],0))</x:f>
        <x:v>High</x:v>
      </x:c>
      <x:c r="F129" s="19" t="str">
        <x:v>Handle repetitive inbox organization using natural language.</x:v>
      </x:c>
      <x:c r="G129" s="19" t="str">
        <x:v>GA release-note batch; M365 Copilot; verify entitlement; Windows, Mac, web, mobile</x:v>
      </x:c>
      <x:c r="H129" s="68" t="str">
        <x:f>IFERROR(HYPERLINK("#'Change log'!A"&amp;(MATCH("COP-64746AE61A",CopilotChanges[Change ID],0)+10),"COP-64746AE61A"),"COP-64746AE61A")</x:f>
        <x:v>COP-64746AE61A</x:v>
      </x:c>
    </x:row>
    <x:row r="130" ht="58" customHeight="1">
      <x:c r="A130" s="74" t="n">
        <x:f>INDEX(CopilotChanges[Date of change / report],MATCH($H130,CopilotChanges[Change ID],0))</x:f>
        <x:v>46288</x:v>
      </x:c>
      <x:c r="B130" s="19" t="str">
        <x:v>Outlook classic</x:v>
      </x:c>
      <x:c r="C130" s="19" t="str">
        <x:v>Agent integration</x:v>
      </x:c>
      <x:c r="D130" s="19" t="str">
        <x:v>Copilot Chat in classic Outlook for Windows supports integrated declarative-agent experiences.</x:v>
      </x:c>
      <x:c r="E130" s="22" t="str">
        <x:f>INDEX(CopilotChanges[Productivity impact],MATCH($H130,CopilotChanges[Change ID],0))</x:f>
        <x:v>Medium</x:v>
      </x:c>
      <x:c r="F130" s="19" t="str">
        <x:v>Use an organization-specific assistant while handling related correspondence in classic Outlook.</x:v>
      </x:c>
      <x:c r="G130" s="19" t="str">
        <x:v>GA; staged rollout; License unconfirmed; Windows; regions unconfirmed</x:v>
      </x:c>
      <x:c r="H130" s="68" t="str">
        <x:f>IFERROR(HYPERLINK("#'Change log'!A"&amp;(MATCH("COP-0EA82B719B",CopilotChanges[Change ID],0)+10),"COP-0EA82B719B"),"COP-0EA82B719B")</x:f>
        <x:v>COP-0EA82B719B</x:v>
      </x:c>
    </x:row>
    <x:row r="131" ht="73" customHeight="1">
      <x:c r="A131" s="74" t="n">
        <x:f>INDEX(CopilotChanges[Date of change / report],MATCH($H131,CopilotChanges[Change ID],0))</x:f>
        <x:v>46288</x:v>
      </x:c>
      <x:c r="B131" s="19" t="str">
        <x:v>People Skills administration</x:v>
      </x:c>
      <x:c r="C131" s="19" t="str">
        <x:v>Data removal</x:v>
      </x:c>
      <x:c r="D131" s="19" t="str">
        <x:v>An administrator can permanently remove the tenant’s People Skills library and users’ confirmed, inferred and imported skills data.</x:v>
      </x:c>
      <x:c r="E131" s="22" t="str">
        <x:f>INDEX(CopilotChanges[Productivity impact],MATCH($H131,CopilotChanges[Change ID],0))</x:f>
        <x:v>Medium</x:v>
      </x:c>
      <x:c r="F131" s="19" t="str">
        <x:v>Offboard a discontinued skills program through a deliberate administrator-led process; deletion needs careful approval.</x:v>
      </x:c>
      <x:c r="G131" s="19" t="str">
        <x:v>GA; staged rollout; License unconfirmed; Web; regions unconfirmed</x:v>
      </x:c>
      <x:c r="H131" s="68" t="str">
        <x:f>IFERROR(HYPERLINK("#'Change log'!A"&amp;(MATCH("COP-924AC346E4",CopilotChanges[Change ID],0)+10),"COP-924AC346E4"),"COP-924AC346E4")</x:f>
        <x:v>COP-924AC346E4</x:v>
      </x:c>
    </x:row>
    <x:row r="132" ht="58" customHeight="1">
      <x:c r="A132" s="74" t="n">
        <x:f>INDEX(CopilotChanges[Date of change / report],MATCH($H132,CopilotChanges[Change ID],0))</x:f>
        <x:v>46288</x:v>
      </x:c>
      <x:c r="B132" s="19" t="str">
        <x:v>Planner</x:v>
      </x:c>
      <x:c r="C132" s="19" t="str">
        <x:v>Built-in agent chat</x:v>
      </x:c>
      <x:c r="D132" s="19" t="str">
        <x:v>Ask and manage in-plan tasks.</x:v>
      </x:c>
      <x:c r="E132" s="22" t="str">
        <x:f>INDEX(CopilotChanges[Productivity impact],MATCH($H132,CopilotChanges[Change ID],0))</x:f>
        <x:v>Medium</x:v>
      </x:c>
      <x:c r="F132" s="19" t="str">
        <x:v>Update a working plan without manually navigating every task.</x:v>
      </x:c>
      <x:c r="G132" s="19" t="str">
        <x:v>GA release-note batch; M365 Copilot; verify entitlement; Windows, web</x:v>
      </x:c>
      <x:c r="H132" s="68" t="str">
        <x:f>IFERROR(HYPERLINK("#'Change log'!A"&amp;(MATCH("COP-22728C0BBF",CopilotChanges[Change ID],0)+10),"COP-22728C0BBF"),"COP-22728C0BBF")</x:f>
        <x:v>COP-22728C0BBF</x:v>
      </x:c>
    </x:row>
    <x:row r="133" ht="58" customHeight="1">
      <x:c r="A133" s="74" t="n">
        <x:f>INDEX(CopilotChanges[Date of change / report],MATCH($H133,CopilotChanges[Change ID],0))</x:f>
        <x:v>46288</x:v>
      </x:c>
      <x:c r="B133" s="19" t="str">
        <x:v>Viva Glint</x:v>
      </x:c>
      <x:c r="C133" s="19" t="str">
        <x:v>Comment classification</x:v>
      </x:c>
      <x:c r="D133" s="19" t="str">
        <x:v>Viva Glint uses Copilot in its pipeline for assigning employee survey comments to topics.</x:v>
      </x:c>
      <x:c r="E133" s="22" t="str">
        <x:f>INDEX(CopilotChanges[Productivity impact],MATCH($H133,CopilotChanges[Change ID],0))</x:f>
        <x:v>Medium</x:v>
      </x:c>
      <x:c r="F133" s="19" t="str">
        <x:v>Use automatically grouped employee comments as a starting point, then inspect themes for misclassification.</x:v>
      </x:c>
      <x:c r="G133" s="19" t="str">
        <x:v>GA; staged rollout; License unconfirmed; Web; regions unconfirmed</x:v>
      </x:c>
      <x:c r="H133" s="68" t="str">
        <x:f>IFERROR(HYPERLINK("#'Change log'!A"&amp;(MATCH("COP-146C5A9542",CopilotChanges[Change ID],0)+10),"COP-146C5A9542"),"COP-146C5A9542")</x:f>
        <x:v>COP-146C5A9542</x:v>
      </x:c>
    </x:row>
    <x:row r="134" ht="58" customHeight="1">
      <x:c r="A134" s="74" t="n">
        <x:f>INDEX(CopilotChanges[Date of change / report],MATCH($H134,CopilotChanges[Change ID],0))</x:f>
        <x:v>46288</x:v>
      </x:c>
      <x:c r="B134" s="19" t="str">
        <x:v>Viva Insights</x:v>
      </x:c>
      <x:c r="C134" s="19" t="str">
        <x:v>Daily reporting</x:v>
      </x:c>
      <x:c r="D134" s="19" t="str">
        <x:v>A Copilot adoption Power BI report provides daily-level usage snapshots with more recent activity data.</x:v>
      </x:c>
      <x:c r="E134" s="22" t="str">
        <x:f>INDEX(CopilotChanges[Productivity impact],MATCH($H134,CopilotChanges[Change ID],0))</x:f>
        <x:v>Medium</x:v>
      </x:c>
      <x:c r="F134" s="19" t="str">
        <x:v>Check whether a training session is followed by a near-term change in usage.</x:v>
      </x:c>
      <x:c r="G134" s="19" t="str">
        <x:v>GA; staged rollout; License unconfirmed; Web; regions unconfirmed</x:v>
      </x:c>
      <x:c r="H134" s="68" t="str">
        <x:f>IFERROR(HYPERLINK("#'Change log'!A"&amp;(MATCH("COP-BC2CA54B17",CopilotChanges[Change ID],0)+10),"COP-BC2CA54B17"),"COP-BC2CA54B17")</x:f>
        <x:v>COP-BC2CA54B17</x:v>
      </x:c>
    </x:row>
    <x:row r="135" ht="58" customHeight="1">
      <x:c r="A135" s="74" t="n">
        <x:f>INDEX(CopilotChanges[Date of change / report],MATCH($H135,CopilotChanges[Change ID],0))</x:f>
        <x:v>46288</x:v>
      </x:c>
      <x:c r="B135" s="19" t="str">
        <x:v>Viva Insights</x:v>
      </x:c>
      <x:c r="C135" s="19" t="str">
        <x:v>GitHub cost view</x:v>
      </x:c>
      <x:c r="D135" s="19" t="str">
        <x:v>An Insights dashboard brings together organizational GitHub Copilot consumption, cost and adoption measures.</x:v>
      </x:c>
      <x:c r="E135" s="22" t="str">
        <x:f>INDEX(CopilotChanges[Productivity impact],MATCH($H135,CopilotChanges[Change ID],0))</x:f>
        <x:v>Medium</x:v>
      </x:c>
      <x:c r="F135" s="19" t="str">
        <x:v>Review developer-AI spending alongside adoption before increasing an engineering pilot budget.</x:v>
      </x:c>
      <x:c r="G135" s="19" t="str">
        <x:v>GA; staged rollout; License unconfirmed; Web; regions unconfirmed</x:v>
      </x:c>
      <x:c r="H135" s="68" t="str">
        <x:f>IFERROR(HYPERLINK("#'Change log'!A"&amp;(MATCH("COP-2EF3205C31",CopilotChanges[Change ID],0)+10),"COP-2EF3205C31"),"COP-2EF3205C31")</x:f>
        <x:v>COP-2EF3205C31</x:v>
      </x:c>
    </x:row>
    <x:row r="136" ht="58" customHeight="1">
      <x:c r="A136" s="74" t="n">
        <x:f>INDEX(CopilotChanges[Date of change / report],MATCH($H136,CopilotChanges[Change ID],0))</x:f>
        <x:v>46288</x:v>
      </x:c>
      <x:c r="B136" s="19" t="str">
        <x:v>Viva Insights</x:v>
      </x:c>
      <x:c r="C136" s="19" t="str">
        <x:v>Power-user adoption segments (GA milestone)</x:v>
      </x:c>
      <x:c r="D136" s="19" t="str">
        <x:v>The Copilot dashboard adds measures identifying sustained or habitual Copilot use.</x:v>
      </x:c>
      <x:c r="E136" s="22" t="str">
        <x:f>INDEX(CopilotChanges[Productivity impact],MATCH($H136,CopilotChanges[Change ID],0))</x:f>
        <x:v>Medium</x:v>
      </x:c>
      <x:c r="F136" s="19" t="str">
        <x:v>Locate sustained adopters who may be useful pilot champions, without equating activity with output quality.</x:v>
      </x:c>
      <x:c r="G136" s="19" t="str">
        <x:v>GA; staged rollout; License unconfirmed; Web; regions unconfirmed</x:v>
      </x:c>
      <x:c r="H136" s="68" t="str">
        <x:f>IFERROR(HYPERLINK("#'Change log'!A"&amp;(MATCH("COP-FE7950A3B9",CopilotChanges[Change ID],0)+10),"COP-FE7950A3B9"),"COP-FE7950A3B9")</x:f>
        <x:v>COP-FE7950A3B9</x:v>
      </x:c>
    </x:row>
    <x:row r="137" ht="73" customHeight="1">
      <x:c r="A137" s="74" t="n">
        <x:f>INDEX(CopilotChanges[Date of change / report],MATCH($H137,CopilotChanges[Change ID],0))</x:f>
        <x:v>46288</x:v>
      </x:c>
      <x:c r="B137" s="19" t="str">
        <x:v>Viva Insights / Power BI</x:v>
      </x:c>
      <x:c r="C137" s="19" t="str">
        <x:v>Report filters</x:v>
      </x:c>
      <x:c r="D137" s="19" t="str">
        <x:v>Administrators can expose reserved and organization-defined attributes as additional filters in Copilot-related Power BI reports.</x:v>
      </x:c>
      <x:c r="E137" s="22" t="str">
        <x:f>INDEX(CopilotChanges[Productivity impact],MATCH($H137,CopilotChanges[Change ID],0))</x:f>
        <x:v>Medium</x:v>
      </x:c>
      <x:c r="F137" s="19" t="str">
        <x:v>Compare adoption by the business segments used in your own operating model.</x:v>
      </x:c>
      <x:c r="G137" s="19" t="str">
        <x:v>GA; staged rollout; License unconfirmed; Web; regions unconfirmed</x:v>
      </x:c>
      <x:c r="H137" s="68" t="str">
        <x:f>IFERROR(HYPERLINK("#'Change log'!A"&amp;(MATCH("COP-376E24C75D",CopilotChanges[Change ID],0)+10),"COP-376E24C75D"),"COP-376E24C75D")</x:f>
        <x:v>COP-376E24C75D</x:v>
      </x:c>
    </x:row>
    <x:row r="138" ht="58" customHeight="1">
      <x:c r="A138" s="71" t="n">
        <x:f>INDEX(CopilotChanges[Date of change / report],MATCH($H138,CopilotChanges[Change ID],0))</x:f>
        <x:v>46287</x:v>
      </x:c>
      <x:c r="B138" s="19" t="str">
        <x:v>Copilot models</x:v>
      </x:c>
      <x:c r="C138" s="19" t="str">
        <x:v>Claude Opus 5.5</x:v>
      </x:c>
      <x:c r="D138" s="19" t="str">
        <x:v>Additional model across core Copilot experiences.</x:v>
      </x:c>
      <x:c r="E138" s="22" t="str">
        <x:f>INDEX(CopilotChanges[Productivity impact],MATCH($H138,CopilotChanges[Change ID],0))</x:f>
        <x:v>Medium</x:v>
      </x:c>
      <x:c r="F138" s="19" t="str">
        <x:v>Compare output quality on demanding reasoning and drafting workflows.</x:v>
      </x:c>
      <x:c r="G138" s="19" t="str">
        <x:v>Rollout started; M365 Copilot; verify entitlement; Word, Excel, PowerPoint, Chat, Cowork, Studio; license/access/region vary</x:v>
      </x:c>
      <x:c r="H138" s="68" t="str">
        <x:f>IFERROR(HYPERLINK("#'Change log'!A"&amp;(MATCH("COP-3A014C61EE",CopilotChanges[Change ID],0)+10),"COP-3A014C61EE"),"COP-3A014C61EE")</x:f>
        <x:v>COP-3A014C61EE</x:v>
      </x:c>
    </x:row>
    <x:row r="139" ht="58" customHeight="1">
      <x:c r="A139" s="71" t="n">
        <x:f>INDEX(CopilotChanges[Date of change / report],MATCH($H139,CopilotChanges[Change ID],0))</x:f>
        <x:v>46287</x:v>
      </x:c>
      <x:c r="B139" s="19" t="str">
        <x:v>Copilot models</x:v>
      </x:c>
      <x:c r="C139" s="19" t="str">
        <x:v>GPT-6 Sol</x:v>
      </x:c>
      <x:c r="D139" s="19" t="str">
        <x:v>Additional model across core Copilot experiences.</x:v>
      </x:c>
      <x:c r="E139" s="22" t="str">
        <x:f>INDEX(CopilotChanges[Productivity impact],MATCH($H139,CopilotChanges[Change ID],0))</x:f>
        <x:v>Medium</x:v>
      </x:c>
      <x:c r="F139" s="19" t="str">
        <x:v>Benchmark complex analysis and deliverable creation against existing model choices.</x:v>
      </x:c>
      <x:c r="G139" s="19" t="str">
        <x:v>Rollout started; M365 Copilot; verify entitlement; Word, Excel, PowerPoint, Chat, Cowork, Studio; license/access/region vary</x:v>
      </x:c>
      <x:c r="H139" s="68" t="str">
        <x:f>IFERROR(HYPERLINK("#'Change log'!A"&amp;(MATCH("COP-45A79449AC",CopilotChanges[Change ID],0)+10),"COP-45A79449AC"),"COP-45A79449AC")</x:f>
        <x:v>COP-45A79449AC</x:v>
      </x:c>
    </x:row>
    <x:row r="140" ht="58" customHeight="1">
      <x:c r="A140" s="71" t="n">
        <x:f>INDEX(CopilotChanges[Date of change / report],MATCH($H140,CopilotChanges[Change ID],0))</x:f>
        <x:v>46279</x:v>
      </x:c>
      <x:c r="B140" s="19" t="str">
        <x:v>PowerPoint</x:v>
      </x:c>
      <x:c r="C140" s="19" t="str">
        <x:v>Brand assets in creation</x:v>
      </x:c>
      <x:c r="D140" s="19" t="str">
        <x:v>Use approved templates, imagery, fonts, and icons.</x:v>
      </x:c>
      <x:c r="E140" s="22" t="str">
        <x:f>INDEX(CopilotChanges[Productivity impact],MATCH($H140,CopilotChanges[Change ID],0))</x:f>
        <x:v>Medium</x:v>
      </x:c>
      <x:c r="F140" s="19" t="str">
        <x:v>Start a client-facing deck from the correct design system rather than reformatting it afterward.</x:v>
      </x:c>
      <x:c r="G140" s="19" t="str">
        <x:v>GA; M365 Copilot; Configured organizational Brand Kit</x:v>
      </x:c>
      <x:c r="H140" s="68" t="str">
        <x:f>IFERROR(HYPERLINK("#'Change log'!A"&amp;(MATCH("COP-9EE668B435",CopilotChanges[Change ID],0)+10),"COP-9EE668B435"),"COP-9EE668B435")</x:f>
        <x:v>COP-9EE668B435</x:v>
      </x:c>
    </x:row>
    <x:row r="141" ht="58" customHeight="1">
      <x:c r="A141" s="71" t="n">
        <x:f>INDEX(CopilotChanges[Date of change / report],MATCH($H141,CopilotChanges[Change ID],0))</x:f>
        <x:v>46279</x:v>
      </x:c>
      <x:c r="B141" s="19" t="str">
        <x:v>PowerPoint</x:v>
      </x:c>
      <x:c r="C141" s="19" t="str">
        <x:v>Organization-managed skills</x:v>
      </x:c>
      <x:c r="D141" s="19" t="str">
        <x:v>Administrators distribute approved workflows to teams.</x:v>
      </x:c>
      <x:c r="E141" s="22" t="str">
        <x:f>INDEX(CopilotChanges[Productivity impact],MATCH($H141,CopilotChanges[Change ID],0))</x:f>
        <x:v>High</x:v>
      </x:c>
      <x:c r="F141" s="19" t="str">
        <x:v>Roll out the same proposal-review method across consultants rather than sharing informal prompt text.</x:v>
      </x:c>
      <x:c r="G141" s="19" t="str">
        <x:v>GA; M365 Copilot; verify entitlement; User/group/organization assignment; admin-controlled</x:v>
      </x:c>
      <x:c r="H141" s="68" t="str">
        <x:f>IFERROR(HYPERLINK("#'Change log'!A"&amp;(MATCH("COP-60A302EF0C",CopilotChanges[Change ID],0)+10),"COP-60A302EF0C"),"COP-60A302EF0C")</x:f>
        <x:v>COP-60A302EF0C</x:v>
      </x:c>
    </x:row>
    <x:row r="142" ht="58" customHeight="1">
      <x:c r="A142" s="71" t="n">
        <x:f>INDEX(CopilotChanges[Date of change / report],MATCH($H142,CopilotChanges[Change ID],0))</x:f>
        <x:v>46279</x:v>
      </x:c>
      <x:c r="B142" s="19" t="str">
        <x:v>PowerPoint</x:v>
      </x:c>
      <x:c r="C142" s="19" t="str">
        <x:v>Prebuilt presentation skills</x:v>
      </x:c>
      <x:c r="D142" s="19" t="str">
        <x:v>Reusable built-in workflows guide presentation tasks.</x:v>
      </x:c>
      <x:c r="E142" s="22" t="str">
        <x:f>INDEX(CopilotChanges[Productivity impact],MATCH($H142,CopilotChanges[Change ID],0))</x:f>
        <x:v>Medium</x:v>
      </x:c>
      <x:c r="F142" s="19" t="str">
        <x:v>Use a repeatable narrative or audience review before distributing a presentation.</x:v>
      </x:c>
      <x:c r="G142" s="19" t="str">
        <x:v>GA; M365 Copilot; verify entitlement; Verify tenant availability</x:v>
      </x:c>
      <x:c r="H142" s="68" t="str">
        <x:f>IFERROR(HYPERLINK("#'Change log'!A"&amp;(MATCH("COP-3477CFBA26",CopilotChanges[Change ID],0)+10),"COP-3477CFBA26"),"COP-3477CFBA26")</x:f>
        <x:v>COP-3477CFBA26</x:v>
      </x:c>
    </x:row>
    <x:row r="143" ht="88" customHeight="1">
      <x:c r="A143" s="77" t="n">
        <x:f>INDEX(CopilotChanges[Date of change / report],MATCH($H143,CopilotChanges[Change ID],0))</x:f>
        <x:v>46277</x:v>
      </x:c>
      <x:c r="B143" s="19" t="str">
        <x:v>Word / Excel / PowerPoint models</x:v>
      </x:c>
      <x:c r="C143" s="19" t="str">
        <x:v>Grok model preview</x:v>
      </x:c>
      <x:c r="D143" s="19" t="str">
        <x:v>Grok joins Office model choices with admin opt-in.</x:v>
      </x:c>
      <x:c r="E143" s="22" t="str">
        <x:f>INDEX(CopilotChanges[Productivity impact],MATCH($H143,CopilotChanges[Change ID],0))</x:f>
        <x:v>Medium</x:v>
      </x:c>
      <x:c r="F143" s="19" t="str">
        <x:v>Test alternative responses on nonproduction documents before considering a policy change.</x:v>
      </x:c>
      <x:c r="G143" s="19" t="str">
        <x:v>Frontier preview rollout announced; Eligible Frontier customers with Copilot entitlement; admin opt-in required; EU, EFTA, UK excluded during preview; dedicated setting disabled by default</x:v>
      </x:c>
      <x:c r="H143" s="68" t="str">
        <x:f>IFERROR(HYPERLINK("#'Change log'!A"&amp;(MATCH("COP-C6375E9984",CopilotChanges[Change ID],0)+10),"COP-C6375E9984"),"COP-C6375E9984")</x:f>
        <x:v>COP-C6375E9984</x:v>
      </x:c>
    </x:row>
    <x:row r="144" ht="58" customHeight="1">
      <x:c r="A144" s="74" t="n">
        <x:f>INDEX(CopilotChanges[Date of change / report],MATCH($H144,CopilotChanges[Change ID],0))</x:f>
        <x:v>46275</x:v>
      </x:c>
      <x:c r="B144" s="19" t="str">
        <x:v>SharePoint AI authoring</x:v>
      </x:c>
      <x:c r="C144" s="19" t="str">
        <x:v>On-canvas selection</x:v>
      </x:c>
      <x:c r="D144" s="19" t="str">
        <x:v>Target selected sections or web parts for edits.</x:v>
      </x:c>
      <x:c r="E144" s="22" t="str">
        <x:f>INDEX(CopilotChanges[Productivity impact],MATCH($H144,CopilotChanges[Change ID],0))</x:f>
        <x:v>Medium</x:v>
      </x:c>
      <x:c r="F144" s="19" t="str">
        <x:v>Revise a specific intranet section without describing its location in a long prompt.</x:v>
      </x:c>
      <x:c r="G144" s="19" t="str">
        <x:v>Gradual rollout; Copilot in SharePoint enabled; Tenant/release ring varies; edit permission required</x:v>
      </x:c>
      <x:c r="H144" s="68" t="str">
        <x:f>IFERROR(HYPERLINK("#'Change log'!A"&amp;(MATCH("COP-4426575213",CopilotChanges[Change ID],0)+10),"COP-4426575213"),"COP-4426575213")</x:f>
        <x:v>COP-4426575213</x:v>
      </x:c>
    </x:row>
    <x:row r="145" ht="73" customHeight="1">
      <x:c r="A145" s="71" t="n">
        <x:f>INDEX(CopilotChanges[Date of change / report],MATCH($H145,CopilotChanges[Change ID],0))</x:f>
        <x:v>46269</x:v>
      </x:c>
      <x:c r="B145" s="19" t="str">
        <x:v>Cowork / Copilot Studio</x:v>
      </x:c>
      <x:c r="C145" s="19" t="str">
        <x:v>GPT-6 Astra rollout</x:v>
      </x:c>
      <x:c r="D145" s="19" t="str">
        <x:v>GPT-6 Astra becomes selectable for delegated work.</x:v>
      </x:c>
      <x:c r="E145" s="22" t="str">
        <x:f>INDEX(CopilotChanges[Productivity impact],MATCH($H145,CopilotChanges[Change ID],0))</x:f>
        <x:v>Medium</x:v>
      </x:c>
      <x:c r="F145" s="19" t="str">
        <x:v>Compare completion quality on a multi-source board briefing before standardizing a team workflow.</x:v>
      </x:c>
      <x:c r="G145" s="19" t="str">
        <x:v>Rollout started; Relevant Copilot/Copilot Studio entitlement; advanced usage billing may apply; Regional and organization availability varies; admin controls apply</x:v>
      </x:c>
      <x:c r="H145" s="68" t="str">
        <x:f>IFERROR(HYPERLINK("#'Change log'!A"&amp;(MATCH("COP-278D6B6EA2",CopilotChanges[Change ID],0)+10),"COP-278D6B6EA2"),"COP-278D6B6EA2")</x:f>
        <x:v>COP-278D6B6EA2</x:v>
      </x:c>
    </x:row>
    <x:row r="146" ht="58" customHeight="1">
      <x:c r="A146" s="71" t="n">
        <x:f>INDEX(CopilotChanges[Date of change / report],MATCH($H146,CopilotChanges[Change ID],0))</x:f>
        <x:v>46267</x:v>
      </x:c>
      <x:c r="B146" s="19" t="str">
        <x:v>Copilot in SharePoint</x:v>
      </x:c>
      <x:c r="C146" s="19" t="str">
        <x:v>Approval workflows</x:v>
      </x:c>
      <x:c r="D146" s="19" t="str">
        <x:v>Route requests tied to files and lists.</x:v>
      </x:c>
      <x:c r="E146" s="22" t="str">
        <x:f>INDEX(CopilotChanges[Productivity impact],MATCH($H146,CopilotChanges[Change ID],0))</x:f>
        <x:v>High</x:v>
      </x:c>
      <x:c r="F146" s="19" t="str">
        <x:v>Keep approval status attached to the source item during vendor or proposal review.</x:v>
      </x:c>
      <x:c r="G146" s="19" t="str">
        <x:v>Preview-era release; M365 Copilot; verify entitlement; SharePoint files/lists; permissions apply</x:v>
      </x:c>
      <x:c r="H146" s="68" t="str">
        <x:f>IFERROR(HYPERLINK("#'Change log'!A"&amp;(MATCH("COP-54B49F8127",CopilotChanges[Change ID],0)+10),"COP-54B49F8127"),"COP-54B49F8127")</x:f>
        <x:v>COP-54B49F8127</x:v>
      </x:c>
    </x:row>
    <x:row r="147" ht="58" customHeight="1">
      <x:c r="A147" s="71" t="n">
        <x:f>INDEX(CopilotChanges[Date of change / report],MATCH($H147,CopilotChanges[Change ID],0))</x:f>
        <x:v>46267</x:v>
      </x:c>
      <x:c r="B147" s="19" t="str">
        <x:v>Copilot in SharePoint</x:v>
      </x:c>
      <x:c r="C147" s="19" t="str">
        <x:v>Library-wide image understanding</x:v>
      </x:c>
      <x:c r="D147" s="19" t="str">
        <x:v>Analyze visual content across multiple images.</x:v>
      </x:c>
      <x:c r="E147" s="22" t="str">
        <x:f>INDEX(CopilotChanges[Productivity impact],MATCH($H147,CopilotChanges[Change ID],0))</x:f>
        <x:v>Medium</x:v>
      </x:c>
      <x:c r="F147" s="19" t="str">
        <x:v>Review a set of field photos for relevant visible details before assigning human inspection.</x:v>
      </x:c>
      <x:c r="G147" s="19" t="str">
        <x:v>Preview-era release; M365 Copilot; verify entitlement; Platform unspecified; verify tenant access</x:v>
      </x:c>
      <x:c r="H147" s="68" t="str">
        <x:f>IFERROR(HYPERLINK("#'Change log'!A"&amp;(MATCH("COP-3135439614",CopilotChanges[Change ID],0)+10),"COP-3135439614"),"COP-3135439614")</x:f>
        <x:v>COP-3135439614</x:v>
      </x:c>
    </x:row>
    <x:row r="148" ht="58" customHeight="1">
      <x:c r="A148" s="71" t="n">
        <x:f>INDEX(CopilotChanges[Date of change / report],MATCH($H148,CopilotChanges[Change ID],0))</x:f>
        <x:v>46267</x:v>
      </x:c>
      <x:c r="B148" s="19" t="str">
        <x:v>Copilot in SharePoint</x:v>
      </x:c>
      <x:c r="C148" s="19" t="str">
        <x:v>Portable personal skills</x:v>
      </x:c>
      <x:c r="D148" s="19" t="str">
        <x:v>Reuse personal guidance across sites.</x:v>
      </x:c>
      <x:c r="E148" s="22" t="str">
        <x:f>INDEX(CopilotChanges[Productivity impact],MATCH($H148,CopilotChanges[Change ID],0))</x:f>
        <x:v>Medium</x:v>
      </x:c>
      <x:c r="F148" s="19" t="str">
        <x:v>Apply a consistent executive-briefing method wherever project evidence is stored.</x:v>
      </x:c>
      <x:c r="G148" s="19" t="str">
        <x:v>Preview-era release; M365 Copilot; SharePoint / OneDrive</x:v>
      </x:c>
      <x:c r="H148" s="68" t="str">
        <x:f>IFERROR(HYPERLINK("#'Change log'!A"&amp;(MATCH("COP-B473E1A4BB",CopilotChanges[Change ID],0)+10),"COP-B473E1A4BB"),"COP-B473E1A4BB")</x:f>
        <x:v>COP-B473E1A4BB</x:v>
      </x:c>
    </x:row>
    <x:row r="149" ht="58" customHeight="1">
      <x:c r="A149" s="71" t="n">
        <x:f>INDEX(CopilotChanges[Date of change / report],MATCH($H149,CopilotChanges[Change ID],0))</x:f>
        <x:v>46267</x:v>
      </x:c>
      <x:c r="B149" s="19" t="str">
        <x:v>Copilot in SharePoint</x:v>
      </x:c>
      <x:c r="C149" s="19" t="str">
        <x:v>Skill evaluations</x:v>
      </x:c>
      <x:c r="D149" s="19" t="str">
        <x:v>Test and refine reusable instructions.</x:v>
      </x:c>
      <x:c r="E149" s="22" t="str">
        <x:f>INDEX(CopilotChanges[Productivity impact],MATCH($H149,CopilotChanges[Change ID],0))</x:f>
        <x:v>Medium</x:v>
      </x:c>
      <x:c r="F149" s="19" t="str">
        <x:v>Check whether a reusable document-review method improves before deploying it widely.</x:v>
      </x:c>
      <x:c r="G149" s="19" t="str">
        <x:v>Preview-era release; M365 Copilot; verify entitlement; Platform unspecified; verify tenant access</x:v>
      </x:c>
      <x:c r="H149" s="68" t="str">
        <x:f>IFERROR(HYPERLINK("#'Change log'!A"&amp;(MATCH("COP-46A5E80472",CopilotChanges[Change ID],0)+10),"COP-46A5E80472"),"COP-46A5E80472")</x:f>
        <x:v>COP-46A5E80472</x:v>
      </x:c>
    </x:row>
    <x:row r="150" ht="58" customHeight="1">
      <x:c r="A150" s="74" t="n">
        <x:f>INDEX(CopilotChanges[Date of change / report],MATCH($H150,CopilotChanges[Change ID],0))</x:f>
        <x:v>46266</x:v>
      </x:c>
      <x:c r="B150" s="19" t="str">
        <x:v>Excel</x:v>
      </x:c>
      <x:c r="C150" s="19" t="str">
        <x:v>Change-history analysis</x:v>
      </x:c>
      <x:c r="D150" s="19" t="str">
        <x:v>Summarize edits and identify contributors.</x:v>
      </x:c>
      <x:c r="E150" s="22" t="str">
        <x:f>INDEX(CopilotChanges[Productivity impact],MATCH($H150,CopilotChanges[Change ID],0))</x:f>
        <x:v>Medium</x:v>
      </x:c>
      <x:c r="F150" s="19" t="str">
        <x:v>Review a shared financial model before relying on numbers that changed while you were away.</x:v>
      </x:c>
      <x:c r="G150" s="19" t="str">
        <x:v>GA; M365 Copilot; verify entitlement; Platform unspecified; verify tenant access</x:v>
      </x:c>
      <x:c r="H150" s="68" t="str">
        <x:f>IFERROR(HYPERLINK("#'Change log'!A"&amp;(MATCH("COP-CDBC7DA6B3",CopilotChanges[Change ID],0)+10),"COP-CDBC7DA6B3"),"COP-CDBC7DA6B3")</x:f>
        <x:v>COP-CDBC7DA6B3</x:v>
      </x:c>
    </x:row>
    <x:row r="151" ht="58" customHeight="1">
      <x:c r="A151" s="74" t="n">
        <x:f>INDEX(CopilotChanges[Date of change / report],MATCH($H151,CopilotChanges[Change ID],0))</x:f>
        <x:v>46266</x:v>
      </x:c>
      <x:c r="B151" s="19" t="str">
        <x:v>Excel</x:v>
      </x:c>
      <x:c r="C151" s="19" t="str">
        <x:v>Formula change investigation</x:v>
      </x:c>
      <x:c r="D151" s="19" t="str">
        <x:v>Trace relevant edits behind broken calculations.</x:v>
      </x:c>
      <x:c r="E151" s="22" t="str">
        <x:f>INDEX(CopilotChanges[Productivity impact],MATCH($H151,CopilotChanges[Change ID],0))</x:f>
        <x:v>Medium</x:v>
      </x:c>
      <x:c r="F151" s="19" t="str">
        <x:v>Investigate a failed forecast formula and recover its last working form.</x:v>
      </x:c>
      <x:c r="G151" s="19" t="str">
        <x:v>GA; M365 Copilot; verify entitlement; Platform unspecified; verify tenant access</x:v>
      </x:c>
      <x:c r="H151" s="68" t="str">
        <x:f>IFERROR(HYPERLINK("#'Change log'!A"&amp;(MATCH("COP-3F0784BA74",CopilotChanges[Change ID],0)+10),"COP-3F0784BA74"),"COP-3F0784BA74")</x:f>
        <x:v>COP-3F0784BA74</x:v>
      </x:c>
    </x:row>
    <x:row r="152" ht="58" customHeight="1">
      <x:c r="A152" s="74" t="n">
        <x:f>INDEX(CopilotChanges[Date of change / report],MATCH($H152,CopilotChanges[Change ID],0))</x:f>
        <x:v>46266</x:v>
      </x:c>
      <x:c r="B152" s="19" t="str">
        <x:v>Excel</x:v>
      </x:c>
      <x:c r="C152" s="19" t="str">
        <x:v>Selective change reversal</x:v>
      </x:c>
      <x:c r="D152" s="19" t="str">
        <x:v>Reverse selected AI-assisted edits while retaining other changes.</x:v>
      </x:c>
      <x:c r="E152" s="22" t="str">
        <x:f>INDEX(CopilotChanges[Productivity impact],MATCH($H152,CopilotChanges[Change ID],0))</x:f>
        <x:v>Medium</x:v>
      </x:c>
      <x:c r="F152" s="19" t="str">
        <x:v>Recover unwanted automated edits without discarding legitimate work by collaborators.</x:v>
      </x:c>
      <x:c r="G152" s="19" t="str">
        <x:v>GA; M365 Copilot; verify entitlement; Platform unspecified; verify tenant access</x:v>
      </x:c>
      <x:c r="H152" s="68" t="str">
        <x:f>IFERROR(HYPERLINK("#'Change log'!A"&amp;(MATCH("COP-3FF0D41150",CopilotChanges[Change ID],0)+10),"COP-3FF0D41150"),"COP-3FF0D41150")</x:f>
        <x:v>COP-3FF0D41150</x:v>
      </x:c>
    </x:row>
    <x:row r="153" ht="73" customHeight="1">
      <x:c r="A153" s="71" t="n">
        <x:f>INDEX(CopilotChanges[Date of change / report],MATCH($H153,CopilotChanges[Change ID],0))</x:f>
        <x:v>46266</x:v>
      </x:c>
      <x:c r="B153" s="19" t="str">
        <x:v>Teams Phone Agent</x:v>
      </x:c>
      <x:c r="C153" s="19" t="str">
        <x:v>Bookings integration</x:v>
      </x:c>
      <x:c r="D153" s="19" t="str">
        <x:v>Configure appointment actions through PowerShell.</x:v>
      </x:c>
      <x:c r="E153" s="22" t="str">
        <x:f>INDEX(CopilotChanges[Productivity impact],MATCH($H153,CopilotChanges[Change ID],0))</x:f>
        <x:v>High</x:v>
      </x:c>
      <x:c r="F153" s="19" t="str">
        <x:v>Let routine appointment requests flow into the organization’s booking workflow.</x:v>
      </x:c>
      <x:c r="G153" s="19" t="str">
        <x:v>Preview enhancement; Teams Phone/admin prerequisites; metered Copilot Credits; funded spending policy; India excluded; Auto Attendant fallback without policy or credits</x:v>
      </x:c>
      <x:c r="H153" s="68" t="str">
        <x:f>IFERROR(HYPERLINK("#'Change log'!A"&amp;(MATCH("COP-0D77CFCFEC",CopilotChanges[Change ID],0)+10),"COP-0D77CFCFEC"),"COP-0D77CFCFEC")</x:f>
        <x:v>COP-0D77CFCFEC</x:v>
      </x:c>
    </x:row>
    <x:row r="154" ht="88" customHeight="1">
      <x:c r="A154" s="77" t="n">
        <x:f>INDEX(CopilotChanges[Date of change / report],MATCH($H154,CopilotChanges[Change ID],0))</x:f>
        <x:v>46265</x:v>
      </x:c>
      <x:c r="B154" s="19" t="str">
        <x:v>Copilot / Agent 365 analytics</x:v>
      </x:c>
      <x:c r="C154" s="19" t="str">
        <x:v>De-identified row-level export</x:v>
      </x:c>
      <x:c r="D154" s="19" t="str">
        <x:v>Exports usage metrics and attributes.</x:v>
      </x:c>
      <x:c r="E154" s="22" t="str">
        <x:f>INDEX(CopilotChanges[Productivity impact],MATCH($H154,CopilotChanges[Change ID],0))</x:f>
        <x:v>Medium</x:v>
      </x:c>
      <x:c r="F154" s="19" t="str">
        <x:v>Build a team-level adoption report using approved analytical controls.</x:v>
      </x:c>
      <x:c r="G154" s="19" t="str">
        <x:v>September rollout announced; tenant unverified; M365 Copilot entitlement; full terms unspecified; Admin export; de-identification does not eliminate all privacy considerations</x:v>
      </x:c>
      <x:c r="H154" s="68" t="str">
        <x:f>IFERROR(HYPERLINK("#'Change log'!A"&amp;(MATCH("COP-3C1E6134C7",CopilotChanges[Change ID],0)+10),"COP-3C1E6134C7"),"COP-3C1E6134C7")</x:f>
        <x:v>COP-3C1E6134C7</x:v>
      </x:c>
    </x:row>
    <x:row r="155" ht="73" customHeight="1">
      <x:c r="A155" s="77" t="n">
        <x:f>INDEX(CopilotChanges[Date of change / report],MATCH($H155,CopilotChanges[Change ID],0))</x:f>
        <x:v>46265</x:v>
      </x:c>
      <x:c r="B155" s="19" t="str">
        <x:v>Copilot / Planner</x:v>
      </x:c>
      <x:c r="C155" s="19" t="str">
        <x:v>Task creation and queries</x:v>
      </x:c>
      <x:c r="D155" s="19" t="str">
        <x:v>Create tasks and retrieve Planner task information.</x:v>
      </x:c>
      <x:c r="E155" s="22" t="str">
        <x:f>INDEX(CopilotChanges[Productivity impact],MATCH($H155,CopilotChanges[Change ID],0))</x:f>
        <x:v>High</x:v>
      </x:c>
      <x:c r="F155" s="19" t="str">
        <x:v>Turn an agreed action into a Planner task and check its current status.</x:v>
      </x:c>
      <x:c r="G155" s="19" t="str">
        <x:v>September rollout announced; tenant unverified; M365 Copilot entitlement; full terms unspecified; Verify tenant access and admin policy</x:v>
      </x:c>
      <x:c r="H155" s="68" t="str">
        <x:f>IFERROR(HYPERLINK("#'Change log'!A"&amp;(MATCH("COP-9EBA8E6AD9",CopilotChanges[Change ID],0)+10),"COP-9EBA8E6AD9"),"COP-9EBA8E6AD9")</x:f>
        <x:v>COP-9EBA8E6AD9</x:v>
      </x:c>
    </x:row>
    <x:row r="156" ht="58" customHeight="1">
      <x:c r="A156" s="74" t="n">
        <x:f>INDEX(CopilotChanges[Date of change / report],MATCH($H156,CopilotChanges[Change ID],0))</x:f>
        <x:v>46265</x:v>
      </x:c>
      <x:c r="B156" s="19" t="str">
        <x:v>Copilot Chat</x:v>
      </x:c>
      <x:c r="C156" s="19" t="str">
        <x:v>Dynamic answer cards</x:v>
      </x:c>
      <x:c r="D156" s="19" t="str">
        <x:v>Rich cards for common information queries.</x:v>
      </x:c>
      <x:c r="E156" s="22" t="str">
        <x:f>INDEX(CopilotChanges[Productivity impact],MATCH($H156,CopilotChanges[Change ID],0))</x:f>
        <x:v>Low</x:v>
      </x:c>
      <x:c r="F156" s="19" t="str">
        <x:v>Check weather or market context in a compact visual answer.</x:v>
      </x:c>
      <x:c r="G156" s="19" t="str">
        <x:v>Released / rolling out; M365 Copilot entitlement; full terms unspecified; Supported Entra and Microsoft-account experiences vary</x:v>
      </x:c>
      <x:c r="H156" s="68" t="str">
        <x:f>IFERROR(HYPERLINK("#'Change log'!A"&amp;(MATCH("COP-B44FCB2C51",CopilotChanges[Change ID],0)+10),"COP-B44FCB2C51"),"COP-B44FCB2C51")</x:f>
        <x:v>COP-B44FCB2C51</x:v>
      </x:c>
    </x:row>
    <x:row r="157" ht="58" customHeight="1">
      <x:c r="A157" s="74" t="n">
        <x:f>INDEX(CopilotChanges[Date of change / report],MATCH($H157,CopilotChanges[Change ID],0))</x:f>
        <x:v>46265</x:v>
      </x:c>
      <x:c r="B157" s="19" t="str">
        <x:v>Copilot Chat</x:v>
      </x:c>
      <x:c r="C157" s="19" t="str">
        <x:v>Selected-response prompting</x:v>
      </x:c>
      <x:c r="D157" s="19" t="str">
        <x:v>Ask follow-ups about selected response text.</x:v>
      </x:c>
      <x:c r="E157" s="22" t="str">
        <x:f>INDEX(CopilotChanges[Productivity impact],MATCH($H157,CopilotChanges[Change ID],0))</x:f>
        <x:v>Low</x:v>
      </x:c>
      <x:c r="F157" s="19" t="str">
        <x:v>Refine one paragraph in a long answer without re-explaining the rest of the conversation.</x:v>
      </x:c>
      <x:c r="G157" s="19" t="str">
        <x:v>Released / rolling out; M365 Copilot; verify entitlement; Platform unspecified; verify tenant access</x:v>
      </x:c>
      <x:c r="H157" s="68" t="str">
        <x:f>IFERROR(HYPERLINK("#'Change log'!A"&amp;(MATCH("COP-D911A6055A",CopilotChanges[Change ID],0)+10),"COP-D911A6055A"),"COP-D911A6055A")</x:f>
        <x:v>COP-D911A6055A</x:v>
      </x:c>
    </x:row>
    <x:row r="158" ht="58" customHeight="1">
      <x:c r="A158" s="74" t="n">
        <x:f>INDEX(CopilotChanges[Date of change / report],MATCH($H158,CopilotChanges[Change ID],0))</x:f>
        <x:v>46265</x:v>
      </x:c>
      <x:c r="B158" s="19" t="str">
        <x:v>Copilot Chat</x:v>
      </x:c>
      <x:c r="C158" s="19" t="str">
        <x:v>Share chats and responses</x:v>
      </x:c>
      <x:c r="D158" s="19" t="str">
        <x:v>Share read-only links with continuation options.</x:v>
      </x:c>
      <x:c r="E158" s="22" t="str">
        <x:f>INDEX(CopilotChanges[Productivity impact],MATCH($H158,CopilotChanges[Change ID],0))</x:f>
        <x:v>Medium</x:v>
      </x:c>
      <x:c r="F158" s="19" t="str">
        <x:v>Let colleagues reuse research context rather than copying an answer without its conversation.</x:v>
      </x:c>
      <x:c r="G158" s="19" t="str">
        <x:v>Released / rolling out; M365 Copilot; verify entitlement; Organizational sharing controls apply</x:v>
      </x:c>
      <x:c r="H158" s="68" t="str">
        <x:f>IFERROR(HYPERLINK("#'Change log'!A"&amp;(MATCH("COP-63A5C143ED",CopilotChanges[Change ID],0)+10),"COP-63A5C143ED"),"COP-63A5C143ED")</x:f>
        <x:v>COP-63A5C143ED</x:v>
      </x:c>
    </x:row>
    <x:row r="159" ht="73" customHeight="1">
      <x:c r="A159" s="74" t="n">
        <x:f>INDEX(CopilotChanges[Date of change / report],MATCH($H159,CopilotChanges[Change ID],0))</x:f>
        <x:v>46265</x:v>
      </x:c>
      <x:c r="B159" s="19" t="str">
        <x:v>Copilot Chat / Cowork</x:v>
      </x:c>
      <x:c r="C159" s="19" t="str">
        <x:v>Power BI grounding worldwide</x:v>
      </x:c>
      <x:c r="D159" s="19" t="str">
        <x:v>Report and semantic-model grounding expands.</x:v>
      </x:c>
      <x:c r="E159" s="22" t="str">
        <x:f>INDEX(CopilotChanges[Productivity impact],MATCH($H159,CopilotChanges[Change ID],0))</x:f>
        <x:v>High</x:v>
      </x:c>
      <x:c r="F159" s="19" t="str">
        <x:v>Discuss sales performance against authorized reporting data.</x:v>
      </x:c>
      <x:c r="G159" s="19" t="str">
        <x:v>Released / rolling out; M365 Copilot entitlement; full terms unspecified; Existing data permissions apply; source says worldwide rollout</x:v>
      </x:c>
      <x:c r="H159" s="68" t="str">
        <x:f>IFERROR(HYPERLINK("#'Change log'!A"&amp;(MATCH("COP-0500EC4166",CopilotChanges[Change ID],0)+10),"COP-0500EC4166"),"COP-0500EC4166")</x:f>
        <x:v>COP-0500EC4166</x:v>
      </x:c>
    </x:row>
    <x:row r="160" ht="58" customHeight="1">
      <x:c r="A160" s="74" t="n">
        <x:f>INDEX(CopilotChanges[Date of change / report],MATCH($H160,CopilotChanges[Change ID],0))</x:f>
        <x:v>46265</x:v>
      </x:c>
      <x:c r="B160" s="19" t="str">
        <x:v>Copilot Chat mobile</x:v>
      </x:c>
      <x:c r="C160" s="19" t="str">
        <x:v>Outlook draft handoff</x:v>
      </x:c>
      <x:c r="D160" s="19" t="str">
        <x:v>Generate embedded drafts and open them in Outlook.</x:v>
      </x:c>
      <x:c r="E160" s="22" t="str">
        <x:f>INDEX(CopilotChanges[Productivity impact],MATCH($H160,CopilotChanges[Change ID],0))</x:f>
        <x:v>Medium</x:v>
      </x:c>
      <x:c r="F160" s="19" t="str">
        <x:v>Convert an idea captured on a phone into a reviewable outbound message.</x:v>
      </x:c>
      <x:c r="G160" s="19" t="str">
        <x:v>Released / rolling out; M365 Copilot; verify entitlement; Mobile</x:v>
      </x:c>
      <x:c r="H160" s="68" t="str">
        <x:f>IFERROR(HYPERLINK("#'Change log'!A"&amp;(MATCH("COP-1FB40364FF",CopilotChanges[Change ID],0)+10),"COP-1FB40364FF"),"COP-1FB40364FF")</x:f>
        <x:v>COP-1FB40364FF</x:v>
      </x:c>
    </x:row>
    <x:row r="161" ht="58" customHeight="1">
      <x:c r="A161" s="74" t="n">
        <x:f>INDEX(CopilotChanges[Date of change / report],MATCH($H161,CopilotChanges[Change ID],0))</x:f>
        <x:v>46265</x:v>
      </x:c>
      <x:c r="B161" s="19" t="str">
        <x:v>Copilot connectors / plugins</x:v>
      </x:c>
      <x:c r="C161" s="19" t="str">
        <x:v>August industry integrations</x:v>
      </x:c>
      <x:c r="D161" s="19" t="str">
        <x:v>Adds specialist business and legal sources.</x:v>
      </x:c>
      <x:c r="E161" s="22" t="str">
        <x:f>INDEX(CopilotChanges[Productivity impact],MATCH($H161,CopilotChanges[Change ID],0))</x:f>
        <x:v>High</x:v>
      </x:c>
      <x:c r="F161" s="19" t="str">
        <x:v>Evaluate an approved legal-data connector for a research workflow.</x:v>
      </x:c>
      <x:c r="G161" s="19" t="str">
        <x:v>Released / rolling out; Copilot access; partner subscriptions/permissions may be needed; provider availability and rights vary</x:v>
      </x:c>
      <x:c r="H161" s="68" t="str">
        <x:f>IFERROR(HYPERLINK("#'Change log'!A"&amp;(MATCH("COP-BFF206574B",CopilotChanges[Change ID],0)+10),"COP-BFF206574B"),"COP-BFF206574B")</x:f>
        <x:v>COP-BFF206574B</x:v>
      </x:c>
    </x:row>
    <x:row r="162" ht="58" customHeight="1">
      <x:c r="A162" s="74" t="n">
        <x:f>INDEX(CopilotChanges[Date of change / report],MATCH($H162,CopilotChanges[Change ID],0))</x:f>
        <x:v>46265</x:v>
      </x:c>
      <x:c r="B162" s="19" t="str">
        <x:v>Copilot Cowork</x:v>
      </x:c>
      <x:c r="C162" s="19" t="str">
        <x:v>Automations management view</x:v>
      </x:c>
      <x:c r="D162" s="19" t="str">
        <x:v>Scheduled tab becomes Automations.</x:v>
      </x:c>
      <x:c r="E162" s="22" t="str">
        <x:f>INDEX(CopilotChanges[Productivity impact],MATCH($H162,CopilotChanges[Change ID],0))</x:f>
        <x:v>Low</x:v>
      </x:c>
      <x:c r="F162" s="19" t="str">
        <x:v>Find scheduled and event-triggered tasks in one place.</x:v>
      </x:c>
      <x:c r="G162" s="19" t="str">
        <x:v>Released / rolling out; M365 Copilot entitlement; full terms unspecified; Verify tenant access and admin policy</x:v>
      </x:c>
      <x:c r="H162" s="68" t="str">
        <x:f>IFERROR(HYPERLINK("#'Change log'!A"&amp;(MATCH("COP-95507CA102",CopilotChanges[Change ID],0)+10),"COP-95507CA102"),"COP-95507CA102")</x:f>
        <x:v>COP-95507CA102</x:v>
      </x:c>
    </x:row>
    <x:row r="163" ht="58" customHeight="1">
      <x:c r="A163" s="74" t="n">
        <x:f>INDEX(CopilotChanges[Date of change / report],MATCH($H163,CopilotChanges[Change ID],0))</x:f>
        <x:v>46265</x:v>
      </x:c>
      <x:c r="B163" s="19" t="str">
        <x:v>Copilot Cowork</x:v>
      </x:c>
      <x:c r="C163" s="19" t="str">
        <x:v>Cost skill budget detail</x:v>
      </x:c>
      <x:c r="D163" s="19" t="str">
        <x:v>Shows session and month-to-date spending.</x:v>
      </x:c>
      <x:c r="E163" s="22" t="str">
        <x:f>INDEX(CopilotChanges[Productivity impact],MATCH($H163,CopilotChanges[Change ID],0))</x:f>
        <x:v>Medium</x:v>
      </x:c>
      <x:c r="F163" s="19" t="str">
        <x:v>Check remaining budget before starting a large recurring analysis.</x:v>
      </x:c>
      <x:c r="G163" s="19" t="str">
        <x:v>Released / rolling out; Cowork access; usage limits and credit billing apply; /cost shows remaining percentage and reset timing</x:v>
      </x:c>
      <x:c r="H163" s="68" t="str">
        <x:f>IFERROR(HYPERLINK("#'Change log'!A"&amp;(MATCH("COP-611701DDB3",CopilotChanges[Change ID],0)+10),"COP-611701DDB3"),"COP-611701DDB3")</x:f>
        <x:v>COP-611701DDB3</x:v>
      </x:c>
    </x:row>
    <x:row r="164" ht="73" customHeight="1">
      <x:c r="A164" s="74" t="n">
        <x:f>INDEX(CopilotChanges[Date of change / report],MATCH($H164,CopilotChanges[Change ID],0))</x:f>
        <x:v>46265</x:v>
      </x:c>
      <x:c r="B164" s="19" t="str">
        <x:v>Copilot Cowork</x:v>
      </x:c>
      <x:c r="C164" s="19" t="str">
        <x:v>Effort-level selection</x:v>
      </x:c>
      <x:c r="D164" s="19" t="str">
        <x:v>Choose reasoning effort beside model selection.</x:v>
      </x:c>
      <x:c r="E164" s="22" t="str">
        <x:f>INDEX(CopilotChanges[Productivity impact],MATCH($H164,CopilotChanges[Change ID],0))</x:f>
        <x:v>Medium</x:v>
      </x:c>
      <x:c r="F164" s="19" t="str">
        <x:v>Use lighter effort for a simple list and more effort for a difficult synthesis.</x:v>
      </x:c>
      <x:c r="G164" s="19" t="str">
        <x:v>Released / rolling out; Cowork access; usage limits and credit billing apply; Medium default; Light, High, Extra High, Max options vary by model</x:v>
      </x:c>
      <x:c r="H164" s="68" t="str">
        <x:f>IFERROR(HYPERLINK("#'Change log'!A"&amp;(MATCH("COP-F79140692F",CopilotChanges[Change ID],0)+10),"COP-F79140692F"),"COP-F79140692F")</x:f>
        <x:v>COP-F79140692F</x:v>
      </x:c>
    </x:row>
    <x:row r="165" ht="73" customHeight="1">
      <x:c r="A165" s="77" t="n">
        <x:f>INDEX(CopilotChanges[Date of change / report],MATCH($H165,CopilotChanges[Change ID],0))</x:f>
        <x:v>46265</x:v>
      </x:c>
      <x:c r="B165" s="19" t="str">
        <x:v>Copilot Notebooks</x:v>
      </x:c>
      <x:c r="C165" s="19" t="str">
        <x:v>Android multimodal capture</x:v>
      </x:c>
      <x:c r="D165" s="19" t="str">
        <x:v>Audio, images, and notes become structured context.</x:v>
      </x:c>
      <x:c r="E165" s="22" t="str">
        <x:f>INDEX(CopilotChanges[Productivity impact],MATCH($H165,CopilotChanges[Change ID],0))</x:f>
        <x:v>Medium</x:v>
      </x:c>
      <x:c r="F165" s="19" t="str">
        <x:v>Capture a site-visit observation and images for a later project summary.</x:v>
      </x:c>
      <x:c r="G165" s="19" t="str">
        <x:v>September rollout announced; tenant unverified; M365 Copilot entitlement; full terms unspecified; Android expansion; OneNote iOS/iPad support also noted</x:v>
      </x:c>
      <x:c r="H165" s="68" t="str">
        <x:f>IFERROR(HYPERLINK("#'Change log'!A"&amp;(MATCH("COP-29C56B074B",CopilotChanges[Change ID],0)+10),"COP-29C56B074B"),"COP-29C56B074B")</x:f>
        <x:v>COP-29C56B074B</x:v>
      </x:c>
    </x:row>
    <x:row r="166" ht="58" customHeight="1">
      <x:c r="A166" s="74" t="n">
        <x:f>INDEX(CopilotChanges[Date of change / report],MATCH($H166,CopilotChanges[Change ID],0))</x:f>
        <x:v>46265</x:v>
      </x:c>
      <x:c r="B166" s="19" t="str">
        <x:v>Copilot Notebooks</x:v>
      </x:c>
      <x:c r="C166" s="19" t="str">
        <x:v>Suggested project artifacts</x:v>
      </x:c>
      <x:c r="D166" s="19" t="str">
        <x:v>Recommends context-relevant Office outputs.</x:v>
      </x:c>
      <x:c r="E166" s="22" t="str">
        <x:f>INDEX(CopilotChanges[Productivity impact],MATCH($H166,CopilotChanges[Change ID],0))</x:f>
        <x:v>Medium</x:v>
      </x:c>
      <x:c r="F166" s="19" t="str">
        <x:v>Use a suggested briefing as a starting point and check its sources.</x:v>
      </x:c>
      <x:c r="G166" s="19" t="str">
        <x:v>Released / rolling out; M365 Copilot entitlement; full terms unspecified; Verify tenant access and admin policy</x:v>
      </x:c>
      <x:c r="H166" s="68" t="str">
        <x:f>IFERROR(HYPERLINK("#'Change log'!A"&amp;(MATCH("COP-39B64A58FE",CopilotChanges[Change ID],0)+10),"COP-39B64A58FE"),"COP-39B64A58FE")</x:f>
        <x:v>COP-39B64A58FE</x:v>
      </x:c>
    </x:row>
    <x:row r="167" ht="58" customHeight="1">
      <x:c r="A167" s="74" t="n">
        <x:f>INDEX(CopilotChanges[Date of change / report],MATCH($H167,CopilotChanges[Change ID],0))</x:f>
        <x:v>46265</x:v>
      </x:c>
      <x:c r="B167" s="19" t="str">
        <x:v>Copilot Notebooks / OneNote</x:v>
      </x:c>
      <x:c r="C167" s="19" t="str">
        <x:v>Synchronized notebook workspaces</x:v>
      </x:c>
      <x:c r="D167" s="19" t="str">
        <x:v>App and OneNote experiences stay synchronized.</x:v>
      </x:c>
      <x:c r="E167" s="22" t="str">
        <x:f>INDEX(CopilotChanges[Productivity impact],MATCH($H167,CopilotChanges[Change ID],0))</x:f>
        <x:v>Medium</x:v>
      </x:c>
      <x:c r="F167" s="19" t="str">
        <x:v>Start a quick question in Copilot, then continue project organization in OneNote.</x:v>
      </x:c>
      <x:c r="G167" s="19" t="str">
        <x:v>Released / rolling out; M365 Copilot entitlement; full terms unspecified; Verify tenant access and admin policy</x:v>
      </x:c>
      <x:c r="H167" s="68" t="str">
        <x:f>IFERROR(HYPERLINK("#'Change log'!A"&amp;(MATCH("COP-6AC3F13700",CopilotChanges[Change ID],0)+10),"COP-6AC3F13700"),"COP-6AC3F13700")</x:f>
        <x:v>COP-6AC3F13700</x:v>
      </x:c>
    </x:row>
    <x:row r="168" ht="58" customHeight="1">
      <x:c r="A168" s="74" t="n">
        <x:f>INDEX(CopilotChanges[Date of change / report],MATCH($H168,CopilotChanges[Change ID],0))</x:f>
        <x:v>46265</x:v>
      </x:c>
      <x:c r="B168" s="19" t="str">
        <x:v>Outlook</x:v>
      </x:c>
      <x:c r="C168" s="19" t="str">
        <x:v>Custom engine agents</x:v>
      </x:c>
      <x:c r="D168" s="19" t="str">
        <x:v>Custom-runtime agents become accessible in Outlook.</x:v>
      </x:c>
      <x:c r="E168" s="22" t="str">
        <x:f>INDEX(CopilotChanges[Productivity impact],MATCH($H168,CopilotChanges[Change ID],0))</x:f>
        <x:v>High</x:v>
      </x:c>
      <x:c r="F168" s="19" t="str">
        <x:v>Use an approved service agent while reviewing the corresponding email.</x:v>
      </x:c>
      <x:c r="G168" s="19" t="str">
        <x:v>Released / rolling out; M365 Copilot entitlement; full terms unspecified; Verify tenant access and admin policy</x:v>
      </x:c>
      <x:c r="H168" s="68" t="str">
        <x:f>IFERROR(HYPERLINK("#'Change log'!A"&amp;(MATCH("COP-36656D8E5F",CopilotChanges[Change ID],0)+10),"COP-36656D8E5F"),"COP-36656D8E5F")</x:f>
        <x:v>COP-36656D8E5F</x:v>
      </x:c>
    </x:row>
    <x:row r="169" ht="58" customHeight="1">
      <x:c r="A169" s="74" t="n">
        <x:f>INDEX(CopilotChanges[Date of change / report],MATCH($H169,CopilotChanges[Change ID],0))</x:f>
        <x:v>46265</x:v>
      </x:c>
      <x:c r="B169" s="19" t="str">
        <x:v>Planner Agent</x:v>
      </x:c>
      <x:c r="C169" s="19" t="str">
        <x:v>Configurable status reports</x:v>
      </x:c>
      <x:c r="D169" s="19" t="str">
        <x:v>Produces audience-tailored plan reports.</x:v>
      </x:c>
      <x:c r="E169" s="22" t="str">
        <x:f>INDEX(CopilotChanges[Productivity impact],MATCH($H169,CopilotChanges[Change ID],0))</x:f>
        <x:v>Medium</x:v>
      </x:c>
      <x:c r="F169" s="19" t="str">
        <x:v>Draft an executive update with risks and next steps, then verify task status.</x:v>
      </x:c>
      <x:c r="G169" s="19" t="str">
        <x:v>Frontier preview; M365 Copilot entitlement; full terms unspecified; Verify tenant access and admin policy</x:v>
      </x:c>
      <x:c r="H169" s="68" t="str">
        <x:f>IFERROR(HYPERLINK("#'Change log'!A"&amp;(MATCH("COP-E437B34FA8",CopilotChanges[Change ID],0)+10),"COP-E437B34FA8"),"COP-E437B34FA8")</x:f>
        <x:v>COP-E437B34FA8</x:v>
      </x:c>
    </x:row>
    <x:row r="170" ht="58" customHeight="1">
      <x:c r="A170" s="74" t="n">
        <x:f>INDEX(CopilotChanges[Date of change / report],MATCH($H170,CopilotChanges[Change ID],0))</x:f>
        <x:v>46265</x:v>
      </x:c>
      <x:c r="B170" s="19" t="str">
        <x:v>PowerPoint</x:v>
      </x:c>
      <x:c r="C170" s="19" t="str">
        <x:v>Comment task assignment</x:v>
      </x:c>
      <x:c r="D170" s="19" t="str">
        <x:v>Assign follow-ups and notify stakeholders.</x:v>
      </x:c>
      <x:c r="E170" s="22" t="str">
        <x:f>INDEX(CopilotChanges[Productivity impact],MATCH($H170,CopilotChanges[Change ID],0))</x:f>
        <x:v>Medium</x:v>
      </x:c>
      <x:c r="F170" s="19" t="str">
        <x:v>Turn a reviewer comment into an assigned revision task.</x:v>
      </x:c>
      <x:c r="G170" s="19" t="str">
        <x:v>Released / rolling out; M365 Copilot entitlement; full terms unspecified; Verify tenant access and admin policy</x:v>
      </x:c>
      <x:c r="H170" s="68" t="str">
        <x:f>IFERROR(HYPERLINK("#'Change log'!A"&amp;(MATCH("COP-7F5BC6F468",CopilotChanges[Change ID],0)+10),"COP-7F5BC6F468"),"COP-7F5BC6F468")</x:f>
        <x:v>COP-7F5BC6F468</x:v>
      </x:c>
    </x:row>
    <x:row r="171" ht="58" customHeight="1">
      <x:c r="A171" s="74" t="n">
        <x:f>INDEX(CopilotChanges[Date of change / report],MATCH($H171,CopilotChanges[Change ID],0))</x:f>
        <x:v>46265</x:v>
      </x:c>
      <x:c r="B171" s="19" t="str">
        <x:v>PowerPoint</x:v>
      </x:c>
      <x:c r="C171" s="19" t="str">
        <x:v>On-brand SmartArt editing</x:v>
      </x:c>
      <x:c r="D171" s="19" t="str">
        <x:v>Conversational diagram editing enters Frontier.</x:v>
      </x:c>
      <x:c r="E171" s="22" t="str">
        <x:f>INDEX(CopilotChanges[Productivity impact],MATCH($H171,CopilotChanges[Change ID],0))</x:f>
        <x:v>Medium</x:v>
      </x:c>
      <x:c r="F171" s="19" t="str">
        <x:v>Revise an organization chart while checking brand consistency.</x:v>
      </x:c>
      <x:c r="G171" s="19" t="str">
        <x:v>Frontier preview; M365 Copilot entitlement; full terms unspecified; Verify tenant access and admin policy</x:v>
      </x:c>
      <x:c r="H171" s="68" t="str">
        <x:f>IFERROR(HYPERLINK("#'Change log'!A"&amp;(MATCH("COP-FFFDD3C56C",CopilotChanges[Change ID],0)+10),"COP-FFFDD3C56C"),"COP-FFFDD3C56C")</x:f>
        <x:v>COP-FFFDD3C56C</x:v>
      </x:c>
    </x:row>
    <x:row r="172" ht="58" customHeight="1">
      <x:c r="A172" s="74" t="n">
        <x:f>INDEX(CopilotChanges[Date of change / report],MATCH($H172,CopilotChanges[Change ID],0))</x:f>
        <x:v>46265</x:v>
      </x:c>
      <x:c r="B172" s="19" t="str">
        <x:v>PowerPoint</x:v>
      </x:c>
      <x:c r="C172" s="19" t="str">
        <x:v>Strict brand adherence</x:v>
      </x:c>
      <x:c r="D172" s="19" t="str">
        <x:v>Restrict generation to approved layouts and placeholders.</x:v>
      </x:c>
      <x:c r="E172" s="22" t="str">
        <x:f>INDEX(CopilotChanges[Productivity impact],MATCH($H172,CopilotChanges[Change ID],0))</x:f>
        <x:v>Medium</x:v>
      </x:c>
      <x:c r="F172" s="19" t="str">
        <x:v>Make branded customer decks more predictable and reduce design-review churn.</x:v>
      </x:c>
      <x:c r="G172" s="19" t="str">
        <x:v>Released; M365 Copilot; verify entitlement; Brand Kit owner/manager controls; users cannot override</x:v>
      </x:c>
      <x:c r="H172" s="68" t="str">
        <x:f>IFERROR(HYPERLINK("#'Change log'!A"&amp;(MATCH("COP-0380D643A2",CopilotChanges[Change ID],0)+10),"COP-0380D643A2"),"COP-0380D643A2")</x:f>
        <x:v>COP-0380D643A2</x:v>
      </x:c>
    </x:row>
    <x:row r="173" ht="58" customHeight="1">
      <x:c r="A173" s="74" t="n">
        <x:f>INDEX(CopilotChanges[Date of change / report],MATCH($H173,CopilotChanges[Change ID],0))</x:f>
        <x:v>46265</x:v>
      </x:c>
      <x:c r="B173" s="19" t="str">
        <x:v>PowerPoint</x:v>
      </x:c>
      <x:c r="C173" s="19" t="str">
        <x:v>Template note instructions</x:v>
      </x:c>
      <x:c r="D173" s="19" t="str">
        <x:v>Persistent per-slide guidance directs generation.</x:v>
      </x:c>
      <x:c r="E173" s="22" t="str">
        <x:f>INDEX(CopilotChanges[Productivity impact],MATCH($H173,CopilotChanges[Change ID],0))</x:f>
        <x:v>Medium</x:v>
      </x:c>
      <x:c r="F173" s="19" t="str">
        <x:v>Embed required slide treatment once instead of restating brand instructions in every prompt.</x:v>
      </x:c>
      <x:c r="G173" s="19" t="str">
        <x:v>Released; M365 Copilot; verify entitlement; Brand Kit templates</x:v>
      </x:c>
      <x:c r="H173" s="68" t="str">
        <x:f>IFERROR(HYPERLINK("#'Change log'!A"&amp;(MATCH("COP-E816ABECBF",CopilotChanges[Change ID],0)+10),"COP-E816ABECBF"),"COP-E816ABECBF")</x:f>
        <x:v>COP-E816ABECBF</x:v>
      </x:c>
    </x:row>
    <x:row r="174" ht="58" customHeight="1">
      <x:c r="A174" s="74" t="n">
        <x:f>INDEX(CopilotChanges[Date of change / report],MATCH($H174,CopilotChanges[Change ID],0))</x:f>
        <x:v>46265</x:v>
      </x:c>
      <x:c r="B174" s="19" t="str">
        <x:v>PowerPoint</x:v>
      </x:c>
      <x:c r="C174" s="19" t="str">
        <x:v>Translation with layout resizing</x:v>
      </x:c>
      <x:c r="D174" s="19" t="str">
        <x:v>Translation moves to Copilot with resizing.</x:v>
      </x:c>
      <x:c r="E174" s="22" t="str">
        <x:f>INDEX(CopilotChanges[Productivity impact],MATCH($H174,CopilotChanges[Change ID],0))</x:f>
        <x:v>Medium</x:v>
      </x:c>
      <x:c r="F174" s="19" t="str">
        <x:v>Translate a client deck, then review text fit and terminology.</x:v>
      </x:c>
      <x:c r="G174" s="19" t="str">
        <x:v>Released / rolling out; M365 Copilot entitlement; full terms unspecified; Verify tenant access and admin policy</x:v>
      </x:c>
      <x:c r="H174" s="68" t="str">
        <x:f>IFERROR(HYPERLINK("#'Change log'!A"&amp;(MATCH("COP-851E2E5F01",CopilotChanges[Change ID],0)+10),"COP-851E2E5F01"),"COP-851E2E5F01")</x:f>
        <x:v>COP-851E2E5F01</x:v>
      </x:c>
    </x:row>
    <x:row r="175" ht="58" customHeight="1">
      <x:c r="A175" s="74" t="n">
        <x:f>INDEX(CopilotChanges[Date of change / report],MATCH($H175,CopilotChanges[Change ID],0))</x:f>
        <x:v>46265</x:v>
      </x:c>
      <x:c r="B175" s="19" t="str">
        <x:v>Teams</x:v>
      </x:c>
      <x:c r="C175" s="19" t="str">
        <x:v>Recap translation</x:v>
      </x:c>
      <x:c r="D175" s="19" t="str">
        <x:v>Change a meeting recap’s language after generation.</x:v>
      </x:c>
      <x:c r="E175" s="22" t="str">
        <x:f>INDEX(CopilotChanges[Productivity impact],MATCH($H175,CopilotChanges[Change ID],0))</x:f>
        <x:v>Medium</x:v>
      </x:c>
      <x:c r="F175" s="19" t="str">
        <x:v>Share a usable recap across multilingual project teams without manual translation.</x:v>
      </x:c>
      <x:c r="G175" s="19" t="str">
        <x:v>Released / rolling out; M365 Copilot; verify entitlement; Platform unspecified; verify tenant access</x:v>
      </x:c>
      <x:c r="H175" s="68" t="str">
        <x:f>IFERROR(HYPERLINK("#'Change log'!A"&amp;(MATCH("COP-6597DB675B",CopilotChanges[Change ID],0)+10),"COP-6597DB675B"),"COP-6597DB675B")</x:f>
        <x:v>COP-6597DB675B</x:v>
      </x:c>
    </x:row>
    <x:row r="176" ht="58" customHeight="1">
      <x:c r="A176" s="74" t="n">
        <x:f>INDEX(CopilotChanges[Date of change / report],MATCH($H176,CopilotChanges[Change ID],0))</x:f>
        <x:v>46265</x:v>
      </x:c>
      <x:c r="B176" s="19" t="str">
        <x:v>Word</x:v>
      </x:c>
      <x:c r="C176" s="19" t="str">
        <x:v>Hyperlink insertion</x:v>
      </x:c>
      <x:c r="D176" s="19" t="str">
        <x:v>Insert and format links through Copilot.</x:v>
      </x:c>
      <x:c r="E176" s="22" t="str">
        <x:f>INDEX(CopilotChanges[Productivity impact],MATCH($H176,CopilotChanges[Change ID],0))</x:f>
        <x:v>Low</x:v>
      </x:c>
      <x:c r="F176" s="19" t="str">
        <x:v>Add reference links to a brief with fewer manual editing steps.</x:v>
      </x:c>
      <x:c r="G176" s="19" t="str">
        <x:v>Released / rolling out; M365 Copilot; verify entitlement; Platform unspecified; verify tenant access</x:v>
      </x:c>
      <x:c r="H176" s="68" t="str">
        <x:f>IFERROR(HYPERLINK("#'Change log'!A"&amp;(MATCH("COP-E787CF5B20",CopilotChanges[Change ID],0)+10),"COP-E787CF5B20"),"COP-E787CF5B20")</x:f>
        <x:v>COP-E787CF5B20</x:v>
      </x:c>
    </x:row>
    <x:row r="177" ht="58" customHeight="1">
      <x:c r="A177" s="74" t="n">
        <x:f>INDEX(CopilotChanges[Date of change / report],MATCH($H177,CopilotChanges[Change ID],0))</x:f>
        <x:v>46265</x:v>
      </x:c>
      <x:c r="B177" s="19" t="str">
        <x:v>Word</x:v>
      </x:c>
      <x:c r="C177" s="19" t="str">
        <x:v>Reference-image understanding</x:v>
      </x:c>
      <x:c r="D177" s="19" t="str">
        <x:v>Use visual content from referenced documents.</x:v>
      </x:c>
      <x:c r="E177" s="22" t="str">
        <x:f>INDEX(CopilotChanges[Productivity impact],MATCH($H177,CopilotChanges[Change ID],0))</x:f>
        <x:v>Medium</x:v>
      </x:c>
      <x:c r="F177" s="19" t="str">
        <x:v>Draft from materials containing diagrams or screenshots instead of relying only on extracted text.</x:v>
      </x:c>
      <x:c r="G177" s="19" t="str">
        <x:v>Released / rolling out; M365 Copilot; verify entitlement; Platform unspecified; verify tenant access</x:v>
      </x:c>
      <x:c r="H177" s="68" t="str">
        <x:f>IFERROR(HYPERLINK("#'Change log'!A"&amp;(MATCH("COP-62FFB09CB3",CopilotChanges[Change ID],0)+10),"COP-62FFB09CB3"),"COP-62FFB09CB3")</x:f>
        <x:v>COP-62FFB09CB3</x:v>
      </x:c>
    </x:row>
    <x:row r="178" ht="58" customHeight="1">
      <x:c r="A178" s="74" t="n">
        <x:f>INDEX(CopilotChanges[Date of change / report],MATCH($H178,CopilotChanges[Change ID],0))</x:f>
        <x:v>46265</x:v>
      </x:c>
      <x:c r="B178" s="19" t="str">
        <x:v>Word</x:v>
      </x:c>
      <x:c r="C178" s="19" t="str">
        <x:v>Word-level edit highlights</x:v>
      </x:c>
      <x:c r="D178" s="19" t="str">
        <x:v>Review changed words rather than whole paragraphs.</x:v>
      </x:c>
      <x:c r="E178" s="22" t="str">
        <x:f>INDEX(CopilotChanges[Productivity impact],MATCH($H178,CopilotChanges[Change ID],0))</x:f>
        <x:v>Medium</x:v>
      </x:c>
      <x:c r="F178" s="19" t="str">
        <x:v>Inspect small contractual or messaging edits more quickly and accurately.</x:v>
      </x:c>
      <x:c r="G178" s="19" t="str">
        <x:v>Released / rolling out; M365 Copilot; verify entitlement; Platform unspecified; verify tenant access</x:v>
      </x:c>
      <x:c r="H178" s="68" t="str">
        <x:f>IFERROR(HYPERLINK("#'Change log'!A"&amp;(MATCH("COP-892F6566DB",CopilotChanges[Change ID],0)+10),"COP-892F6566DB"),"COP-892F6566DB")</x:f>
        <x:v>COP-892F6566DB</x:v>
      </x:c>
    </x:row>
    <x:row r="179" ht="58" customHeight="1">
      <x:c r="A179" s="74" t="n">
        <x:f>INDEX(CopilotChanges[Date of change / report],MATCH($H179,CopilotChanges[Change ID],0))</x:f>
        <x:v>46259</x:v>
      </x:c>
      <x:c r="B179" s="19" t="str">
        <x:v>Copilot app</x:v>
      </x:c>
      <x:c r="C179" s="19" t="str">
        <x:v>Interface refresh</x:v>
      </x:c>
      <x:c r="D179" s="19" t="str">
        <x:v>The Copilot web and desktop apps receive revised chat-home, response and navigation layouts.</x:v>
      </x:c>
      <x:c r="E179" s="22" t="str">
        <x:f>INDEX(CopilotChanges[Productivity impact],MATCH($H179,CopilotChanges[Change ID],0))</x:f>
        <x:v>Low</x:v>
      </x:c>
      <x:c r="F179" s="19" t="str">
        <x:v>Expect updated locations and layouts when maintaining internal how-to guides or screenshots.</x:v>
      </x:c>
      <x:c r="G179" s="19" t="str">
        <x:v>GA; staged rollout; License unconfirmed; Windows, Mac, Web; regions unconfirmed</x:v>
      </x:c>
      <x:c r="H179" s="68" t="str">
        <x:f>IFERROR(HYPERLINK("#'Change log'!A"&amp;(MATCH("COP-22B2829504",CopilotChanges[Change ID],0)+10),"COP-22B2829504"),"COP-22B2829504")</x:f>
        <x:v>COP-22B2829504</x:v>
      </x:c>
    </x:row>
    <x:row r="180" ht="58" customHeight="1">
      <x:c r="A180" s="74" t="n">
        <x:f>INDEX(CopilotChanges[Date of change / report],MATCH($H180,CopilotChanges[Change ID],0))</x:f>
        <x:v>46259</x:v>
      </x:c>
      <x:c r="B180" s="19" t="str">
        <x:v>Copilot Chat</x:v>
      </x:c>
      <x:c r="C180" s="19" t="str">
        <x:v>Email viewer</x:v>
      </x:c>
      <x:c r="D180" s="19" t="str">
        <x:v>Full-app Copilot experiences can open Outlook messages within the chat interface for inspection and reference.</x:v>
      </x:c>
      <x:c r="E180" s="22" t="str">
        <x:f>INDEX(CopilotChanges[Productivity impact],MATCH($H180,CopilotChanges[Change ID],0))</x:f>
        <x:v>Low</x:v>
      </x:c>
      <x:c r="F180" s="19" t="str">
        <x:v>Inspect a cited message during research without losing your place in the chat.</x:v>
      </x:c>
      <x:c r="G180" s="19" t="str">
        <x:v>GA; staged rollout; License unconfirmed; Windows, Mac, Web; regions unconfirmed</x:v>
      </x:c>
      <x:c r="H180" s="68" t="str">
        <x:f>IFERROR(HYPERLINK("#'Change log'!A"&amp;(MATCH("COP-60F69C57D1",CopilotChanges[Change ID],0)+10),"COP-60F69C57D1"),"COP-60F69C57D1")</x:f>
        <x:v>COP-60F69C57D1</x:v>
      </x:c>
    </x:row>
    <x:row r="181" ht="58" customHeight="1">
      <x:c r="A181" s="74" t="n">
        <x:f>INDEX(CopilotChanges[Date of change / report],MATCH($H181,CopilotChanges[Change ID],0))</x:f>
        <x:v>46259</x:v>
      </x:c>
      <x:c r="B181" s="19" t="str">
        <x:v>Copilot Chat</x:v>
      </x:c>
      <x:c r="C181" s="19" t="str">
        <x:v>Unified Work IQ switch</x:v>
      </x:c>
      <x:c r="D181" s="19" t="str">
        <x:v>Toggle work-data access in chat.</x:v>
      </x:c>
      <x:c r="E181" s="22" t="str">
        <x:f>INDEX(CopilotChanges[Productivity impact],MATCH($H181,CopilotChanges[Change ID],0))</x:f>
        <x:v>Medium</x:v>
      </x:c>
      <x:c r="F181" s="19" t="str">
        <x:v>Keep one conversation while consciously selecting the scope of organizational data.</x:v>
      </x:c>
      <x:c r="G181" s="19" t="str">
        <x:v>GA release-note batch; M365 Copilot; verify entitlement; Windows, web</x:v>
      </x:c>
      <x:c r="H181" s="68" t="str">
        <x:f>IFERROR(HYPERLINK("#'Change log'!A"&amp;(MATCH("COP-52FDE81A36",CopilotChanges[Change ID],0)+10),"COP-52FDE81A36"),"COP-52FDE81A36")</x:f>
        <x:v>COP-52FDE81A36</x:v>
      </x:c>
    </x:row>
    <x:row r="182" ht="73" customHeight="1">
      <x:c r="A182" s="74" t="n">
        <x:f>INDEX(CopilotChanges[Date of change / report],MATCH($H182,CopilotChanges[Change ID],0))</x:f>
        <x:v>46259</x:v>
      </x:c>
      <x:c r="B182" s="19" t="str">
        <x:v>Copilot Chat / Viva Engage</x:v>
      </x:c>
      <x:c r="C182" s="19" t="str">
        <x:v>Private-community grounding</x:v>
      </x:c>
      <x:c r="D182" s="19" t="str">
        <x:v>Copilot can ground answers in accessible private Viva Engage communities and events while respecting the user’s existing permissions.</x:v>
      </x:c>
      <x:c r="E182" s="22" t="str">
        <x:f>INDEX(CopilotChanges[Productivity impact],MATCH($H182,CopilotChanges[Change ID],0))</x:f>
        <x:v>Medium</x:v>
      </x:c>
      <x:c r="F182" s="19" t="str">
        <x:v>Include discussions from an accessible private project community when compiling a work summary.</x:v>
      </x:c>
      <x:c r="G182" s="19" t="str">
        <x:v>GA; staged rollout; License unconfirmed; Web; regions unconfirmed</x:v>
      </x:c>
      <x:c r="H182" s="68" t="str">
        <x:f>IFERROR(HYPERLINK("#'Change log'!A"&amp;(MATCH("COP-9F723DD9D9",CopilotChanges[Change ID],0)+10),"COP-9F723DD9D9"),"COP-9F723DD9D9")</x:f>
        <x:v>COP-9F723DD9D9</x:v>
      </x:c>
    </x:row>
    <x:row r="183" ht="58" customHeight="1">
      <x:c r="A183" s="74" t="n">
        <x:f>INDEX(CopilotChanges[Date of change / report],MATCH($H183,CopilotChanges[Change ID],0))</x:f>
        <x:v>46259</x:v>
      </x:c>
      <x:c r="B183" s="19" t="str">
        <x:v>Copilot mobile / Pages</x:v>
      </x:c>
      <x:c r="C183" s="19" t="str">
        <x:v>Page commands</x:v>
      </x:c>
      <x:c r="D183" s="19" t="str">
        <x:v>Mobile Copilot commands can create Pages from chat and revise existing page content.</x:v>
      </x:c>
      <x:c r="E183" s="22" t="str">
        <x:f>INDEX(CopilotChanges[Productivity impact],MATCH($H183,CopilotChanges[Change ID],0))</x:f>
        <x:v>Medium</x:v>
      </x:c>
      <x:c r="F183" s="19" t="str">
        <x:v>Turn mobile notes into a page and shorten the draft before returning to a larger screen.</x:v>
      </x:c>
      <x:c r="G183" s="19" t="str">
        <x:v>GA; staged rollout; License unconfirmed; Android, iOS; regions unconfirmed</x:v>
      </x:c>
      <x:c r="H183" s="68" t="str">
        <x:f>IFERROR(HYPERLINK("#'Change log'!A"&amp;(MATCH("COP-45FA0A7171",CopilotChanges[Change ID],0)+10),"COP-45FA0A7171"),"COP-45FA0A7171")</x:f>
        <x:v>COP-45FA0A7171</x:v>
      </x:c>
    </x:row>
    <x:row r="184" ht="58" customHeight="1">
      <x:c r="A184" s="74" t="n">
        <x:f>INDEX(CopilotChanges[Date of change / report],MATCH($H184,CopilotChanges[Change ID],0))</x:f>
        <x:v>46259</x:v>
      </x:c>
      <x:c r="B184" s="19" t="str">
        <x:v>Excel</x:v>
      </x:c>
      <x:c r="C184" s="19" t="str">
        <x:v>Chart design skill</x:v>
      </x:c>
      <x:c r="D184" s="19" t="str">
        <x:v>Reusable chart styling guidance improves visualizations.</x:v>
      </x:c>
      <x:c r="E184" s="22" t="str">
        <x:f>INDEX(CopilotChanges[Productivity impact],MATCH($H184,CopilotChanges[Change ID],0))</x:f>
        <x:v>Medium</x:v>
      </x:c>
      <x:c r="F184" s="19" t="str">
        <x:v>Apply a consistent chart treatment across recurring performance reports.</x:v>
      </x:c>
      <x:c r="G184" s="19" t="str">
        <x:v>Released / rolling out; M365 Copilot; verify entitlement; Windows, Mac, web</x:v>
      </x:c>
      <x:c r="H184" s="68" t="str">
        <x:f>IFERROR(HYPERLINK("#'Change log'!A"&amp;(MATCH("COP-B52D3692EF",CopilotChanges[Change ID],0)+10),"COP-B52D3692EF"),"COP-B52D3692EF")</x:f>
        <x:v>COP-B52D3692EF</x:v>
      </x:c>
    </x:row>
    <x:row r="185" ht="58" customHeight="1">
      <x:c r="A185" s="74" t="n">
        <x:f>INDEX(CopilotChanges[Date of change / report],MATCH($H185,CopilotChanges[Change ID],0))</x:f>
        <x:v>46259</x:v>
      </x:c>
      <x:c r="B185" s="19" t="str">
        <x:v>Excel</x:v>
      </x:c>
      <x:c r="C185" s="19" t="str">
        <x:v>Persistent chat history</x:v>
      </x:c>
      <x:c r="D185" s="19" t="str">
        <x:v>Reopen earlier Copilot conversations.</x:v>
      </x:c>
      <x:c r="E185" s="22" t="str">
        <x:f>INDEX(CopilotChanges[Productivity impact],MATCH($H185,CopilotChanges[Change ID],0))</x:f>
        <x:v>Medium</x:v>
      </x:c>
      <x:c r="F185" s="19" t="str">
        <x:v>Resume the reasoning behind a forecast after a review meeting instead of reconstructing prompts.</x:v>
      </x:c>
      <x:c r="G185" s="19" t="str">
        <x:v>Released / rolling out; M365 Copilot commercial license; Windows, Mac, web</x:v>
      </x:c>
      <x:c r="H185" s="68" t="str">
        <x:f>IFERROR(HYPERLINK("#'Change log'!A"&amp;(MATCH("COP-D7C546760A",CopilotChanges[Change ID],0)+10),"COP-D7C546760A"),"COP-D7C546760A")</x:f>
        <x:v>COP-D7C546760A</x:v>
      </x:c>
    </x:row>
    <x:row r="186" ht="58" customHeight="1">
      <x:c r="A186" s="74" t="n">
        <x:f>INDEX(CopilotChanges[Date of change / report],MATCH($H186,CopilotChanges[Change ID],0))</x:f>
        <x:v>46259</x:v>
      </x:c>
      <x:c r="B186" s="19" t="str">
        <x:v>Excel</x:v>
      </x:c>
      <x:c r="C186" s="19" t="str">
        <x:v>PivotTable skills</x:v>
      </x:c>
      <x:c r="D186" s="19" t="str">
        <x:v>Create and organize PivotTables through Copilot.</x:v>
      </x:c>
      <x:c r="E186" s="22" t="str">
        <x:f>INDEX(CopilotChanges[Productivity impact],MATCH($H186,CopilotChanges[Change ID],0))</x:f>
        <x:v>Medium</x:v>
      </x:c>
      <x:c r="F186" s="19" t="str">
        <x:v>Turn raw operational records into repeatable management breakdowns with less spreadsheet setup.</x:v>
      </x:c>
      <x:c r="G186" s="19" t="str">
        <x:v>Released / rolling out; M365 Copilot; verify entitlement; Windows, Mac, web</x:v>
      </x:c>
      <x:c r="H186" s="68" t="str">
        <x:f>IFERROR(HYPERLINK("#'Change log'!A"&amp;(MATCH("COP-4E4735FBCF",CopilotChanges[Change ID],0)+10),"COP-4E4735FBCF"),"COP-4E4735FBCF")</x:f>
        <x:v>COP-4E4735FBCF</x:v>
      </x:c>
    </x:row>
    <x:row r="187" ht="58" customHeight="1">
      <x:c r="A187" s="74" t="n">
        <x:f>INDEX(CopilotChanges[Date of change / report],MATCH($H187,CopilotChanges[Change ID],0))</x:f>
        <x:v>46259</x:v>
      </x:c>
      <x:c r="B187" s="19" t="str">
        <x:v>Excel</x:v>
      </x:c>
      <x:c r="C187" s="19" t="str">
        <x:v>Python editing skill</x:v>
      </x:c>
      <x:c r="D187" s="19" t="str">
        <x:v>Generate refreshable Python formulas inside workbooks.</x:v>
      </x:c>
      <x:c r="E187" s="22" t="str">
        <x:f>INDEX(CopilotChanges[Productivity impact],MATCH($H187,CopilotChanges[Change ID],0))</x:f>
        <x:v>High</x:v>
      </x:c>
      <x:c r="F187" s="19" t="str">
        <x:v>Run richer analysis while keeping calculations and results with the workbook.</x:v>
      </x:c>
      <x:c r="G187" s="19" t="str">
        <x:v>Insiders / status conflict; Eligible Copilot and Python in Excel entitlement; Windows, Mac, web; verify release channel</x:v>
      </x:c>
      <x:c r="H187" s="68" t="str">
        <x:f>IFERROR(HYPERLINK("#'Change log'!A"&amp;(MATCH("COP-109B47D176",CopilotChanges[Change ID],0)+10),"COP-109B47D176"),"COP-109B47D176")</x:f>
        <x:v>COP-109B47D176</x:v>
      </x:c>
    </x:row>
    <x:row r="188" ht="58" customHeight="1">
      <x:c r="A188" s="74" t="n">
        <x:f>INDEX(CopilotChanges[Date of change / report],MATCH($H188,CopilotChanges[Change ID],0))</x:f>
        <x:v>46259</x:v>
      </x:c>
      <x:c r="B188" s="19" t="str">
        <x:v>Outlook classic</x:v>
      </x:c>
      <x:c r="C188" s="19" t="str">
        <x:v>Meeting scheduling</x:v>
      </x:c>
      <x:c r="D188" s="19" t="str">
        <x:v>Classic Outlook can coordinate a meeting from chat, including availability, rooms, agenda drafting and invitations.</x:v>
      </x:c>
      <x:c r="E188" s="22" t="str">
        <x:f>INDEX(CopilotChanges[Productivity impact],MATCH($H188,CopilotChanges[Change ID],0))</x:f>
        <x:v>High</x:v>
      </x:c>
      <x:c r="F188" s="19" t="str">
        <x:v>Organize a project review with the relevant attendees, room, and agenda from a conversation.</x:v>
      </x:c>
      <x:c r="G188" s="19" t="str">
        <x:v>GA; staged rollout; M365 Copilot license; Windows; regions unconfirmed</x:v>
      </x:c>
      <x:c r="H188" s="68" t="str">
        <x:f>IFERROR(HYPERLINK("#'Change log'!A"&amp;(MATCH("COP-12B57CDBF5",CopilotChanges[Change ID],0)+10),"COP-12B57CDBF5"),"COP-12B57CDBF5")</x:f>
        <x:v>COP-12B57CDBF5</x:v>
      </x:c>
    </x:row>
    <x:row r="189" ht="58" customHeight="1">
      <x:c r="A189" s="74" t="n">
        <x:f>INDEX(CopilotChanges[Date of change / report],MATCH($H189,CopilotChanges[Change ID],0))</x:f>
        <x:v>46259</x:v>
      </x:c>
      <x:c r="B189" s="19" t="str">
        <x:v>PowerPoint</x:v>
      </x:c>
      <x:c r="C189" s="19" t="str">
        <x:v>Email grounding</x:v>
      </x:c>
      <x:c r="D189" s="19" t="str">
        <x:v>PowerPoint on Windows can use an Outlook email as a reference for generating a presentation.</x:v>
      </x:c>
      <x:c r="E189" s="22" t="str">
        <x:f>INDEX(CopilotChanges[Productivity impact],MATCH($H189,CopilotChanges[Change ID],0))</x:f>
        <x:v>Medium</x:v>
      </x:c>
      <x:c r="F189" s="19" t="str">
        <x:v>Start a presentation from a stakeholder’s email brief rather than manually copying the requirements.</x:v>
      </x:c>
      <x:c r="G189" s="19" t="str">
        <x:v>GA; staged rollout; License unconfirmed; Windows; regions unconfirmed</x:v>
      </x:c>
      <x:c r="H189" s="68" t="str">
        <x:f>IFERROR(HYPERLINK("#'Change log'!A"&amp;(MATCH("COP-8FC62D0FF2",CopilotChanges[Change ID],0)+10),"COP-8FC62D0FF2"),"COP-8FC62D0FF2")</x:f>
        <x:v>COP-8FC62D0FF2</x:v>
      </x:c>
    </x:row>
    <x:row r="190" ht="58" customHeight="1">
      <x:c r="A190" s="74" t="n">
        <x:f>INDEX(CopilotChanges[Date of change / report],MATCH($H190,CopilotChanges[Change ID],0))</x:f>
        <x:v>46259</x:v>
      </x:c>
      <x:c r="B190" s="19" t="str">
        <x:v>PowerPoint Live</x:v>
      </x:c>
      <x:c r="C190" s="19" t="str">
        <x:v>Slide-text explanations for attendees (GA milestone)</x:v>
      </x:c>
      <x:c r="D190" s="19" t="str">
        <x:v>PowerPoint Live attendees can select slide text and request an explanation from Copilot during the meeting.</x:v>
      </x:c>
      <x:c r="E190" s="22" t="str">
        <x:f>INDEX(CopilotChanges[Productivity impact],MATCH($H190,CopilotChanges[Change ID],0))</x:f>
        <x:v>Medium</x:v>
      </x:c>
      <x:c r="F190" s="19" t="str">
        <x:v>Clarify a technical passage during a presentation without asking the speaker to repeat the entire slide.</x:v>
      </x:c>
      <x:c r="G190" s="19" t="str">
        <x:v>GA; staged rollout; License unconfirmed; Windows; regions unconfirmed</x:v>
      </x:c>
      <x:c r="H190" s="68" t="str">
        <x:f>IFERROR(HYPERLINK("#'Change log'!A"&amp;(MATCH("COP-29041184F3",CopilotChanges[Change ID],0)+10),"COP-29041184F3"),"COP-29041184F3")</x:f>
        <x:v>COP-29041184F3</x:v>
      </x:c>
    </x:row>
    <x:row r="191" ht="58" customHeight="1">
      <x:c r="A191" s="74" t="n">
        <x:f>INDEX(CopilotChanges[Date of change / report],MATCH($H191,CopilotChanges[Change ID],0))</x:f>
        <x:v>46259</x:v>
      </x:c>
      <x:c r="B191" s="19" t="str">
        <x:v>Word</x:v>
      </x:c>
      <x:c r="C191" s="19" t="str">
        <x:v>Read-aloud questions</x:v>
      </x:c>
      <x:c r="D191" s="19" t="str">
        <x:v>Ask spoken document questions during Word Read Aloud on Windows and receive contextual answers.</x:v>
      </x:c>
      <x:c r="E191" s="22" t="str">
        <x:f>INDEX(CopilotChanges[Productivity impact],MATCH($H191,CopilotChanges[Change ID],0))</x:f>
        <x:v>Medium</x:v>
      </x:c>
      <x:c r="F191" s="19" t="str">
        <x:v>Ask about an unclear section while listening to a draft, then verify the explanation against the text.</x:v>
      </x:c>
      <x:c r="G191" s="19" t="str">
        <x:v>GA; staged rollout; License unconfirmed; Windows; regions unconfirmed</x:v>
      </x:c>
      <x:c r="H191" s="68" t="str">
        <x:f>IFERROR(HYPERLINK("#'Change log'!A"&amp;(MATCH("COP-5794E2A279",CopilotChanges[Change ID],0)+10),"COP-5794E2A279"),"COP-5794E2A279")</x:f>
        <x:v>COP-5794E2A279</x:v>
      </x:c>
    </x:row>
    <x:row r="192" ht="58" customHeight="1">
      <x:c r="A192" s="74" t="n">
        <x:f>INDEX(CopilotChanges[Date of change / report],MATCH($H192,CopilotChanges[Change ID],0))</x:f>
        <x:v>46259</x:v>
      </x:c>
      <x:c r="B192" s="19" t="str">
        <x:v>Word</x:v>
      </x:c>
      <x:c r="C192" s="19" t="str">
        <x:v>Sonnet 5</x:v>
      </x:c>
      <x:c r="D192" s="19" t="str">
        <x:v>Word’s web Copilot model menu includes Sonnet 5, with a higher default reasoning setting for drafting and editing.</x:v>
      </x:c>
      <x:c r="E192" s="22" t="str">
        <x:f>INDEX(CopilotChanges[Productivity impact],MATCH($H192,CopilotChanges[Change ID],0))</x:f>
        <x:v>Medium</x:v>
      </x:c>
      <x:c r="F192" s="19" t="str">
        <x:v>Re-test a representative drafting task before assuming the changed model behavior suits existing review standards.</x:v>
      </x:c>
      <x:c r="G192" s="19" t="str">
        <x:v>GA; staged rollout; License unconfirmed; Web; regions unconfirmed</x:v>
      </x:c>
      <x:c r="H192" s="68" t="str">
        <x:f>IFERROR(HYPERLINK("#'Change log'!A"&amp;(MATCH("COP-736D6250C5",CopilotChanges[Change ID],0)+10),"COP-736D6250C5"),"COP-736D6250C5")</x:f>
        <x:v>COP-736D6250C5</x:v>
      </x:c>
    </x:row>
    <x:row r="193" ht="58" customHeight="1">
      <x:c r="A193" s="74" t="n">
        <x:f>INDEX(CopilotChanges[Date of change / report],MATCH($H193,CopilotChanges[Change ID],0))</x:f>
        <x:v>46259</x:v>
      </x:c>
      <x:c r="B193" s="19" t="str">
        <x:v>Work IQ</x:v>
      </x:c>
      <x:c r="C193" s="19" t="str">
        <x:v>REST entrypoint</x:v>
      </x:c>
      <x:c r="D193" s="19" t="str">
        <x:v>A Work IQ REST endpoint provides a common interface for invoking agents and workflows.</x:v>
      </x:c>
      <x:c r="E193" s="22" t="str">
        <x:f>INDEX(CopilotChanges[Productivity impact],MATCH($H193,CopilotChanges[Change ID],0))</x:f>
        <x:v>High</x:v>
      </x:c>
      <x:c r="F193" s="19" t="str">
        <x:v>An integration team can design against a shared invocation interface instead of separate legacy chat endpoints.</x:v>
      </x:c>
      <x:c r="G193" s="19" t="str">
        <x:v>GA; staged rollout; License unconfirmed; Developer, Web; regions unconfirmed</x:v>
      </x:c>
      <x:c r="H193" s="68" t="str">
        <x:f>IFERROR(HYPERLINK("#'Change log'!A"&amp;(MATCH("COP-0DCD25BA2D",CopilotChanges[Change ID],0)+10),"COP-0DCD25BA2D"),"COP-0DCD25BA2D")</x:f>
        <x:v>COP-0DCD25BA2D</x:v>
      </x:c>
    </x:row>
    <x:row r="194" ht="73" customHeight="1">
      <x:c r="A194" s="71" t="n">
        <x:f>INDEX(CopilotChanges[Date of change / report],MATCH($H194,CopilotChanges[Change ID],0))</x:f>
        <x:v>46251</x:v>
      </x:c>
      <x:c r="B194" s="19" t="str">
        <x:v>Teams Phone Agent</x:v>
      </x:c>
      <x:c r="C194" s="19" t="str">
        <x:v>Automatic recording controls</x:v>
      </x:c>
      <x:c r="D194" s="19" t="str">
        <x:v>Configure recording through PowerShell.</x:v>
      </x:c>
      <x:c r="E194" s="22" t="str">
        <x:f>INDEX(CopilotChanges[Productivity impact],MATCH($H194,CopilotChanges[Change ID],0))</x:f>
        <x:v>Medium</x:v>
      </x:c>
      <x:c r="F194" s="19" t="str">
        <x:v>Support reviewed call-quality workflows where recording is lawful and approved.</x:v>
      </x:c>
      <x:c r="G194" s="19" t="str">
        <x:v>Preview enhancement; Teams Phone/admin prerequisites; metered Copilot Credits; funded spending policy; India excluded; Auto Attendant fallback without policy or credits</x:v>
      </x:c>
      <x:c r="H194" s="68" t="str">
        <x:f>IFERROR(HYPERLINK("#'Change log'!A"&amp;(MATCH("COP-79892035D7",CopilotChanges[Change ID],0)+10),"COP-79892035D7"),"COP-79892035D7")</x:f>
        <x:v>COP-79892035D7</x:v>
      </x:c>
    </x:row>
    <x:row r="195" ht="88" customHeight="1">
      <x:c r="A195" s="71" t="n">
        <x:f>INDEX(CopilotChanges[Date of change / report],MATCH($H195,CopilotChanges[Change ID],0))</x:f>
        <x:v>46247</x:v>
      </x:c>
      <x:c r="B195" s="19" t="str">
        <x:v>Copilot Notebooks</x:v>
      </x:c>
      <x:c r="C195" s="19" t="str">
        <x:v>Markdown, TXT, RTF sources</x:v>
      </x:c>
      <x:c r="D195" s="19" t="str">
        <x:v>Add text-based documentation and transcripts as references.</x:v>
      </x:c>
      <x:c r="E195" s="22" t="str">
        <x:f>INDEX(CopilotChanges[Productivity impact],MATCH($H195,CopilotChanges[Change ID],0))</x:f>
        <x:v>Medium</x:v>
      </x:c>
      <x:c r="F195" s="19" t="str">
        <x:v>Include system notes, interview transcripts, and working documentation in project synthesis.</x:v>
      </x:c>
      <x:c r="G195" s="19" t="str">
        <x:v>GA; Copilot Notebooks entitlement; paid M365 Copilot or eligible Copilot Chat. SharePoint/OneDrive plan needed to create notebooks; Copilot app and OneNote; tenant rollout may vary</x:v>
      </x:c>
      <x:c r="H195" s="68" t="str">
        <x:f>IFERROR(HYPERLINK("#'Change log'!A"&amp;(MATCH("COP-81D6D8A576",CopilotChanges[Change ID],0)+10),"COP-81D6D8A576"),"COP-81D6D8A576")</x:f>
        <x:v>COP-81D6D8A576</x:v>
      </x:c>
    </x:row>
    <x:row r="196" ht="73" customHeight="1">
      <x:c r="A196" s="71" t="n">
        <x:f>INDEX(CopilotChanges[Date of change / report],MATCH($H196,CopilotChanges[Change ID],0))</x:f>
        <x:v>46246</x:v>
      </x:c>
      <x:c r="B196" s="19" t="str">
        <x:v>Teams Phone Agent</x:v>
      </x:c>
      <x:c r="C196" s="19" t="str">
        <x:v>Spam and call controls</x:v>
      </x:c>
      <x:c r="D196" s="19" t="str">
        <x:v>Configure spam detection, disclaimer, and duration.</x:v>
      </x:c>
      <x:c r="E196" s="22" t="str">
        <x:f>INDEX(CopilotChanges[Productivity impact],MATCH($H196,CopilotChanges[Change ID],0))</x:f>
        <x:v>Medium</x:v>
      </x:c>
      <x:c r="F196" s="19" t="str">
        <x:v>Set operational boundaries before opening an automated reception workflow to external callers.</x:v>
      </x:c>
      <x:c r="G196" s="19" t="str">
        <x:v>Preview enhancement; Teams Phone/admin prerequisites; metered Copilot Credits; funded spending policy; India excluded; Auto Attendant fallback without policy or credits</x:v>
      </x:c>
      <x:c r="H196" s="68" t="str">
        <x:f>IFERROR(HYPERLINK("#'Change log'!A"&amp;(MATCH("COP-C6EE4D556B",CopilotChanges[Change ID],0)+10),"COP-C6EE4D556B"),"COP-C6EE4D556B")</x:f>
        <x:v>COP-C6EE4D556B</x:v>
      </x:c>
    </x:row>
    <x:row r="197" ht="58" customHeight="1">
      <x:c r="A197" s="74" t="n">
        <x:f>INDEX(CopilotChanges[Date of change / report],MATCH($H197,CopilotChanges[Change ID],0))</x:f>
        <x:v>46245</x:v>
      </x:c>
      <x:c r="B197" s="19" t="str">
        <x:v>Copilot connectors</x:v>
      </x:c>
      <x:c r="C197" s="19" t="str">
        <x:v>Parallel crawling</x:v>
      </x:c>
      <x:c r="D197" s="19" t="str">
        <x:v>Copilot connectors process content and identity crawls concurrently rather than sequentially to reduce availability delays.</x:v>
      </x:c>
      <x:c r="E197" s="22" t="str">
        <x:f>INDEX(CopilotChanges[Productivity impact],MATCH($H197,CopilotChanges[Change ID],0))</x:f>
        <x:v>Medium</x:v>
      </x:c>
      <x:c r="F197" s="19" t="str">
        <x:v>Check whether newly revised source records become usable sooner during time-sensitive project work.</x:v>
      </x:c>
      <x:c r="G197" s="19" t="str">
        <x:v>GA; staged rollout; License unconfirmed; Web; regions unconfirmed</x:v>
      </x:c>
      <x:c r="H197" s="68" t="str">
        <x:f>IFERROR(HYPERLINK("#'Change log'!A"&amp;(MATCH("COP-EF330E36DD",CopilotChanges[Change ID],0)+10),"COP-EF330E36DD"),"COP-EF330E36DD")</x:f>
        <x:v>COP-EF330E36DD</x:v>
      </x:c>
    </x:row>
    <x:row r="198" ht="58" customHeight="1">
      <x:c r="A198" s="74" t="n">
        <x:f>INDEX(CopilotChanges[Date of change / report],MATCH($H198,CopilotChanges[Change ID],0))</x:f>
        <x:v>46245</x:v>
      </x:c>
      <x:c r="B198" s="19" t="str">
        <x:v>Outlook</x:v>
      </x:c>
      <x:c r="C198" s="19" t="str">
        <x:v>Draft coaching</x:v>
      </x:c>
      <x:c r="D198" s="19" t="str">
        <x:v>Outlook’s Copilot chat offers draft coaching and can apply the specific suggestions selected by the user.</x:v>
      </x:c>
      <x:c r="E198" s="22" t="str">
        <x:f>INDEX(CopilotChanges[Productivity impact],MATCH($H198,CopilotChanges[Change ID],0))</x:f>
        <x:v>Medium</x:v>
      </x:c>
      <x:c r="F198" s="19" t="str">
        <x:v>Review tone or clarity suggestions and apply only those that preserve the intended message.</x:v>
      </x:c>
      <x:c r="G198" s="19" t="str">
        <x:v>GA; staged rollout; License unconfirmed; Android, Windows, iOS, Mac, Web; regions unconfirmed</x:v>
      </x:c>
      <x:c r="H198" s="68" t="str">
        <x:f>IFERROR(HYPERLINK("#'Change log'!A"&amp;(MATCH("COP-3655D94E95",CopilotChanges[Change ID],0)+10),"COP-3655D94E95"),"COP-3655D94E95")</x:f>
        <x:v>COP-3655D94E95</x:v>
      </x:c>
    </x:row>
    <x:row r="199" ht="58" customHeight="1">
      <x:c r="A199" s="74" t="n">
        <x:f>INDEX(CopilotChanges[Date of change / report],MATCH($H199,CopilotChanges[Change ID],0))</x:f>
        <x:v>46245</x:v>
      </x:c>
      <x:c r="B199" s="19" t="str">
        <x:v>Outlook classic</x:v>
      </x:c>
      <x:c r="C199" s="19" t="str">
        <x:v>Meeting preparation</x:v>
      </x:c>
      <x:c r="D199" s="19" t="str">
        <x:v>Classic Outlook for Windows gains Copilot meeting preparation using relevant messages, tasks, documents and other context.</x:v>
      </x:c>
      <x:c r="E199" s="22" t="str">
        <x:f>INDEX(CopilotChanges[Productivity impact],MATCH($H199,CopilotChanges[Change ID],0))</x:f>
        <x:v>Medium</x:v>
      </x:c>
      <x:c r="F199" s="19" t="str">
        <x:v>Gather the latest project material before a client meeting from the classic Windows email workflow.</x:v>
      </x:c>
      <x:c r="G199" s="19" t="str">
        <x:v>GA; staged rollout; M365 Copilot license; Windows; regions unconfirmed</x:v>
      </x:c>
      <x:c r="H199" s="68" t="str">
        <x:f>IFERROR(HYPERLINK("#'Change log'!A"&amp;(MATCH("COP-0E26228825",CopilotChanges[Change ID],0)+10),"COP-0E26228825"),"COP-0E26228825")</x:f>
        <x:v>COP-0E26228825</x:v>
      </x:c>
    </x:row>
    <x:row r="200" ht="58" customHeight="1">
      <x:c r="A200" s="74" t="n">
        <x:f>INDEX(CopilotChanges[Date of change / report],MATCH($H200,CopilotChanges[Change ID],0))</x:f>
        <x:v>46245</x:v>
      </x:c>
      <x:c r="B200" s="19" t="str">
        <x:v>Planner</x:v>
      </x:c>
      <x:c r="C200" s="19" t="str">
        <x:v>Basic-plan access</x:v>
      </x:c>
      <x:c r="D200" s="19" t="str">
        <x:v>Eligible Copilot users can access Planner Agent in group-based basic plans as well as other group-based plans.</x:v>
      </x:c>
      <x:c r="E200" s="22" t="str">
        <x:f>INDEX(CopilotChanges[Productivity impact],MATCH($H200,CopilotChanges[Change ID],0))</x:f>
        <x:v>Medium</x:v>
      </x:c>
      <x:c r="F200" s="19" t="str">
        <x:v>Use an existing group-based basic plan for assisted task work rather than changing the plan solely for access.</x:v>
      </x:c>
      <x:c r="G200" s="19" t="str">
        <x:v>GA; staged rollout; M365 Copilot license; Windows, Mac, Web; regions unconfirmed</x:v>
      </x:c>
      <x:c r="H200" s="68" t="str">
        <x:f>IFERROR(HYPERLINK("#'Change log'!A"&amp;(MATCH("COP-F2280BE408",CopilotChanges[Change ID],0)+10),"COP-F2280BE408"),"COP-F2280BE408")</x:f>
        <x:v>COP-F2280BE408</x:v>
      </x:c>
    </x:row>
    <x:row r="201" ht="73" customHeight="1">
      <x:c r="A201" s="74" t="n">
        <x:f>INDEX(CopilotChanges[Date of change / report],MATCH($H201,CopilotChanges[Change ID],0))</x:f>
        <x:v>46245</x:v>
      </x:c>
      <x:c r="B201" s="19" t="str">
        <x:v>PowerPoint / Adobe Experience Manager</x:v>
      </x:c>
      <x:c r="C201" s="19" t="str">
        <x:v>Asset sourcing</x:v>
      </x:c>
      <x:c r="D201" s="19" t="str">
        <x:v>With an Adobe Experience Manager asset connection configured, PowerPoint can use the organization’s images in generated presentations.</x:v>
      </x:c>
      <x:c r="E201" s="22" t="str">
        <x:f>INDEX(CopilotChanges[Productivity impact],MATCH($H201,CopilotChanges[Change ID],0))</x:f>
        <x:v>Medium</x:v>
      </x:c>
      <x:c r="F201" s="19" t="str">
        <x:v>Reuse managed brand photography when creating a pitch deck after the asset connection is configured.</x:v>
      </x:c>
      <x:c r="G201" s="19" t="str">
        <x:v>GA; staged rollout; License unconfirmed; Web, Windows; regions unconfirmed</x:v>
      </x:c>
      <x:c r="H201" s="68" t="str">
        <x:f>IFERROR(HYPERLINK("#'Change log'!A"&amp;(MATCH("COP-1B33E8256B",CopilotChanges[Change ID],0)+10),"COP-1B33E8256B"),"COP-1B33E8256B")</x:f>
        <x:v>COP-1B33E8256B</x:v>
      </x:c>
    </x:row>
    <x:row r="202" ht="58" customHeight="1">
      <x:c r="A202" s="74" t="n">
        <x:f>INDEX(CopilotChanges[Date of change / report],MATCH($H202,CopilotChanges[Change ID],0))</x:f>
        <x:v>46245</x:v>
      </x:c>
      <x:c r="B202" s="19" t="str">
        <x:v>PowerPoint web</x:v>
      </x:c>
      <x:c r="C202" s="19" t="str">
        <x:v>Start-screen creation</x:v>
      </x:c>
      <x:c r="D202" s="19" t="str">
        <x:v>The PowerPoint web app provides a Copilot presentation-creation entry point directly on its opening screen.</x:v>
      </x:c>
      <x:c r="E202" s="22" t="str">
        <x:f>INDEX(CopilotChanges[Productivity impact],MATCH($H202,CopilotChanges[Change ID],0))</x:f>
        <x:v>Low</x:v>
      </x:c>
      <x:c r="F202" s="19" t="str">
        <x:v>Begin a deck from the app’s opening screen rather than first creating a blank presentation.</x:v>
      </x:c>
      <x:c r="G202" s="19" t="str">
        <x:v>GA; staged rollout; License unconfirmed; Web; regions unconfirmed</x:v>
      </x:c>
      <x:c r="H202" s="68" t="str">
        <x:f>IFERROR(HYPERLINK("#'Change log'!A"&amp;(MATCH("COP-48229CFFCA",CopilotChanges[Change ID],0)+10),"COP-48229CFFCA"),"COP-48229CFFCA")</x:f>
        <x:v>COP-48229CFFCA</x:v>
      </x:c>
    </x:row>
    <x:row r="203" ht="58" customHeight="1">
      <x:c r="A203" s="74" t="n">
        <x:f>INDEX(CopilotChanges[Date of change / report],MATCH($H203,CopilotChanges[Change ID],0))</x:f>
        <x:v>46245</x:v>
      </x:c>
      <x:c r="B203" s="19" t="str">
        <x:v>ServiceNow connectors</x:v>
      </x:c>
      <x:c r="C203" s="19" t="str">
        <x:v>Role enforcement</x:v>
      </x:c>
      <x:c r="D203" s="19" t="str">
        <x:v>The ServiceNow Knowledge and Catalog connectors apply role-based permissions when determining accessible source content.</x:v>
      </x:c>
      <x:c r="E203" s="22" t="str">
        <x:f>INDEX(CopilotChanges[Productivity impact],MATCH($H203,CopilotChanges[Change ID],0))</x:f>
        <x:v>High</x:v>
      </x:c>
      <x:c r="F203" s="19" t="str">
        <x:v>Test representative users against restricted support material before widening connector rollout.</x:v>
      </x:c>
      <x:c r="G203" s="19" t="str">
        <x:v>GA; staged rollout; License unconfirmed; Web; regions unconfirmed</x:v>
      </x:c>
      <x:c r="H203" s="68" t="str">
        <x:f>IFERROR(HYPERLINK("#'Change log'!A"&amp;(MATCH("COP-4140118515",CopilotChanges[Change ID],0)+10),"COP-4140118515"),"COP-4140118515")</x:f>
        <x:v>COP-4140118515</x:v>
      </x:c>
    </x:row>
    <x:row r="204" ht="73" customHeight="1">
      <x:c r="A204" s="74" t="n">
        <x:f>INDEX(CopilotChanges[Date of change / report],MATCH($H204,CopilotChanges[Change ID],0))</x:f>
        <x:v>46245</x:v>
      </x:c>
      <x:c r="B204" s="19" t="str">
        <x:v>SharePoint / Copilot Search</x:v>
      </x:c>
      <x:c r="C204" s="19" t="str">
        <x:v>Authority weighting</x:v>
      </x:c>
      <x:c r="D204" s="19" t="str">
        <x:v>Administrators can designate authoritative SharePoint sites so approved organizational sources receive priority in Copilot Search.</x:v>
      </x:c>
      <x:c r="E204" s="22" t="str">
        <x:f>INDEX(CopilotChanges[Productivity impact],MATCH($H204,CopilotChanges[Change ID],0))</x:f>
        <x:v>High</x:v>
      </x:c>
      <x:c r="F204" s="19" t="str">
        <x:v>Mark the maintained policy site so staff are more likely to find the approved version first.</x:v>
      </x:c>
      <x:c r="G204" s="19" t="str">
        <x:v>GA; staged rollout; License unconfirmed; Windows, Web; regions unconfirmed</x:v>
      </x:c>
      <x:c r="H204" s="68" t="str">
        <x:f>IFERROR(HYPERLINK("#'Change log'!A"&amp;(MATCH("COP-81522D91CE",CopilotChanges[Change ID],0)+10),"COP-81522D91CE"),"COP-81522D91CE")</x:f>
        <x:v>COP-81522D91CE</x:v>
      </x:c>
    </x:row>
    <x:row r="205" ht="58" customHeight="1">
      <x:c r="A205" s="74" t="n">
        <x:f>INDEX(CopilotChanges[Date of change / report],MATCH($H205,CopilotChanges[Change ID],0))</x:f>
        <x:v>46245</x:v>
      </x:c>
      <x:c r="B205" s="19" t="str">
        <x:v>Viva Insights</x:v>
      </x:c>
      <x:c r="C205" s="19" t="str">
        <x:v>Credit dashboard</x:v>
      </x:c>
      <x:c r="D205" s="19" t="str">
        <x:v>An Insights Consumption Dashboard reports Copilot credit usage across AI services and associated budget information.</x:v>
      </x:c>
      <x:c r="E205" s="22" t="str">
        <x:f>INDEX(CopilotChanges[Productivity impact],MATCH($H205,CopilotChanges[Change ID],0))</x:f>
        <x:v>Medium</x:v>
      </x:c>
      <x:c r="F205" s="19" t="str">
        <x:v>Estimate the recurring cost of an AI pilot before it becomes a department-wide commitment.</x:v>
      </x:c>
      <x:c r="G205" s="19" t="str">
        <x:v>GA; staged rollout; License unconfirmed; Web; regions unconfirmed</x:v>
      </x:c>
      <x:c r="H205" s="68" t="str">
        <x:f>IFERROR(HYPERLINK("#'Change log'!A"&amp;(MATCH("COP-21364B054A",CopilotChanges[Change ID],0)+10),"COP-21364B054A"),"COP-21364B054A")</x:f>
        <x:v>COP-21364B054A</x:v>
      </x:c>
    </x:row>
    <x:row r="206" ht="58" customHeight="1">
      <x:c r="A206" s="71" t="n">
        <x:f>INDEX(CopilotChanges[Date of change / report],MATCH($H206,CopilotChanges[Change ID],0))</x:f>
        <x:v>46240</x:v>
      </x:c>
      <x:c r="B206" s="19" t="str">
        <x:v>Excel</x:v>
      </x:c>
      <x:c r="C206" s="19" t="str">
        <x:v>Connector source selection</x:v>
      </x:c>
      <x:c r="D206" s="19" t="str">
        <x:v>Choose the connected source used for analysis.</x:v>
      </x:c>
      <x:c r="E206" s="22" t="str">
        <x:f>INDEX(CopilotChanges[Productivity impact],MATCH($H206,CopilotChanges[Change ID],0))</x:f>
        <x:v>Medium</x:v>
      </x:c>
      <x:c r="F206" s="19" t="str">
        <x:v>Restrict a pipeline analysis to the approved CRM source rather than mixing unrelated content.</x:v>
      </x:c>
      <x:c r="G206" s="19" t="str">
        <x:v>GA; M365 Copilot; configured connectors and source permissions; Windows, Mac, web</x:v>
      </x:c>
      <x:c r="H206" s="68" t="str">
        <x:f>IFERROR(HYPERLINK("#'Change log'!A"&amp;(MATCH("COP-D9E9B27FAE",CopilotChanges[Change ID],0)+10),"COP-D9E9B27FAE"),"COP-D9E9B27FAE")</x:f>
        <x:v>COP-D9E9B27FAE</x:v>
      </x:c>
    </x:row>
    <x:row r="207" ht="58" customHeight="1">
      <x:c r="A207" s="71" t="n">
        <x:f>INDEX(CopilotChanges[Date of change / report],MATCH($H207,CopilotChanges[Change ID],0))</x:f>
        <x:v>46240</x:v>
      </x:c>
      <x:c r="B207" s="19" t="str">
        <x:v>Excel</x:v>
      </x:c>
      <x:c r="C207" s="19" t="str">
        <x:v>Synced enterprise connectors</x:v>
      </x:c>
      <x:c r="D207" s="19" t="str">
        <x:v>Import permission-aware indexed business records into the grid.</x:v>
      </x:c>
      <x:c r="E207" s="22" t="str">
        <x:f>INDEX(CopilotChanges[Productivity impact],MATCH($H207,CopilotChanges[Change ID],0))</x:f>
        <x:v>High</x:v>
      </x:c>
      <x:c r="F207" s="19" t="str">
        <x:v>Combine project tickets or CRM records into an analysis workbook without manual CSV consolidation.</x:v>
      </x:c>
      <x:c r="G207" s="19" t="str">
        <x:v>GA; M365 Copilot; partner services may require BYOL; Windows, Mac, web; commercial</x:v>
      </x:c>
      <x:c r="H207" s="68" t="str">
        <x:f>IFERROR(HYPERLINK("#'Change log'!A"&amp;(MATCH("COP-BF826F4875",CopilotChanges[Change ID],0)+10),"COP-BF826F4875"),"COP-BF826F4875")</x:f>
        <x:v>COP-BF826F4875</x:v>
      </x:c>
    </x:row>
    <x:row r="208" ht="58" customHeight="1">
      <x:c r="A208" s="74" t="n">
        <x:f>INDEX(CopilotChanges[Date of change / report],MATCH($H208,CopilotChanges[Change ID],0))</x:f>
        <x:v>46234</x:v>
      </x:c>
      <x:c r="B208" s="19" t="str">
        <x:v>Agent 365 / Insights</x:v>
      </x:c>
      <x:c r="C208" s="19" t="str">
        <x:v>Agent adoption dashboard</x:v>
      </x:c>
      <x:c r="D208" s="19" t="str">
        <x:v>Inspect agent adoption, retention, and group trends.</x:v>
      </x:c>
      <x:c r="E208" s="22" t="str">
        <x:f>INDEX(CopilotChanges[Productivity impact],MATCH($H208,CopilotChanges[Change ID],0))</x:f>
        <x:v>Medium</x:v>
      </x:c>
      <x:c r="F208" s="19" t="str">
        <x:v>Identify which deployed assistants are actually being used before expanding the rollout.</x:v>
      </x:c>
      <x:c r="G208" s="19" t="str">
        <x:v>Released / rolling out; M365 Copilot; verify entitlement; Platform unspecified; verify tenant access</x:v>
      </x:c>
      <x:c r="H208" s="68" t="str">
        <x:f>IFERROR(HYPERLINK("#'Change log'!A"&amp;(MATCH("COP-C16C704B66",CopilotChanges[Change ID],0)+10),"COP-C16C704B66"),"COP-C16C704B66")</x:f>
        <x:v>COP-C16C704B66</x:v>
      </x:c>
    </x:row>
    <x:row r="209" ht="58" customHeight="1">
      <x:c r="A209" s="74" t="n">
        <x:f>INDEX(CopilotChanges[Date of change / report],MATCH($H209,CopilotChanges[Change ID],0))</x:f>
        <x:v>46234</x:v>
      </x:c>
      <x:c r="B209" s="19" t="str">
        <x:v>Copilot administration</x:v>
      </x:c>
      <x:c r="C209" s="19" t="str">
        <x:v>Government-cloud Chat reporting</x:v>
      </x:c>
      <x:c r="D209" s="19" t="str">
        <x:v>Usage reports expand to government clouds.</x:v>
      </x:c>
      <x:c r="E209" s="22" t="str">
        <x:f>INDEX(CopilotChanges[Productivity impact],MATCH($H209,CopilotChanges[Change ID],0))</x:f>
        <x:v>Medium</x:v>
      </x:c>
      <x:c r="F209" s="19" t="str">
        <x:v>Review active usage before assigning more paid seats.</x:v>
      </x:c>
      <x:c r="G209" s="19" t="str">
        <x:v>Released / rolling out; M365 Copilot entitlement; full terms unspecified; GCC, GCC High, DoD; user activity anonymized by default</x:v>
      </x:c>
      <x:c r="H209" s="68" t="str">
        <x:f>IFERROR(HYPERLINK("#'Change log'!A"&amp;(MATCH("COP-6557E29E2B",CopilotChanges[Change ID],0)+10),"COP-6557E29E2B"),"COP-6557E29E2B")</x:f>
        <x:v>COP-6557E29E2B</x:v>
      </x:c>
    </x:row>
    <x:row r="210" ht="58" customHeight="1">
      <x:c r="A210" s="74" t="n">
        <x:f>INDEX(CopilotChanges[Date of change / report],MATCH($H210,CopilotChanges[Change ID],0))</x:f>
        <x:v>46234</x:v>
      </x:c>
      <x:c r="B210" s="19" t="str">
        <x:v>Copilot Chat</x:v>
      </x:c>
      <x:c r="C210" s="19" t="str">
        <x:v>Office agent mentions</x:v>
      </x:c>
      <x:c r="D210" s="19" t="str">
        <x:v>Invoke Word, Excel, or PowerPoint agents in chat.</x:v>
      </x:c>
      <x:c r="E210" s="22" t="str">
        <x:f>INDEX(CopilotChanges[Productivity impact],MATCH($H210,CopilotChanges[Change ID],0))</x:f>
        <x:v>High</x:v>
      </x:c>
      <x:c r="F210" s="19" t="str">
        <x:v>Prepare a proposal document, budget, and pitch deck from one conversation.</x:v>
      </x:c>
      <x:c r="G210" s="19" t="str">
        <x:v>Released / rolling out; M365 Copilot; verify entitlement; Platform unspecified; verify tenant access</x:v>
      </x:c>
      <x:c r="H210" s="68" t="str">
        <x:f>IFERROR(HYPERLINK("#'Change log'!A"&amp;(MATCH("COP-A56339CC96",CopilotChanges[Change ID],0)+10),"COP-A56339CC96"),"COP-A56339CC96")</x:f>
        <x:v>COP-A56339CC96</x:v>
      </x:c>
    </x:row>
    <x:row r="211" ht="58" customHeight="1">
      <x:c r="A211" s="74" t="n">
        <x:f>INDEX(CopilotChanges[Date of change / report],MATCH($H211,CopilotChanges[Change ID],0))</x:f>
        <x:v>46234</x:v>
      </x:c>
      <x:c r="B211" s="19" t="str">
        <x:v>Copilot connectors</x:v>
      </x:c>
      <x:c r="C211" s="19" t="str">
        <x:v>July industry connector expansion</x:v>
      </x:c>
      <x:c r="D211" s="19" t="str">
        <x:v>Adds finance and industry data sources.</x:v>
      </x:c>
      <x:c r="E211" s="22" t="str">
        <x:f>INDEX(CopilotChanges[Productivity impact],MATCH($H211,CopilotChanges[Change ID],0))</x:f>
        <x:v>High</x:v>
      </x:c>
      <x:c r="F211" s="19" t="str">
        <x:v>Combine authorized market data with an internal planning document.</x:v>
      </x:c>
      <x:c r="G211" s="19" t="str">
        <x:v>Released / rolling out; Copilot access, provider rights and admin enablement required; connector and regional availability vary</x:v>
      </x:c>
      <x:c r="H211" s="68" t="str">
        <x:f>IFERROR(HYPERLINK("#'Change log'!A"&amp;(MATCH("COP-CCF46753EA",CopilotChanges[Change ID],0)+10),"COP-CCF46753EA"),"COP-CCF46753EA")</x:f>
        <x:v>COP-CCF46753EA</x:v>
      </x:c>
    </x:row>
    <x:row r="212" ht="58" customHeight="1">
      <x:c r="A212" s="74" t="n">
        <x:f>INDEX(CopilotChanges[Date of change / report],MATCH($H212,CopilotChanges[Change ID],0))</x:f>
        <x:v>46234</x:v>
      </x:c>
      <x:c r="B212" s="19" t="str">
        <x:v>Copilot cost management</x:v>
      </x:c>
      <x:c r="C212" s="19" t="str">
        <x:v>In-flight task overage handling</x:v>
      </x:c>
      <x:c r="D212" s="19" t="str">
        <x:v>Tasks may finish with nonbillable overage.</x:v>
      </x:c>
      <x:c r="E212" s="22" t="str">
        <x:f>INDEX(CopilotChanges[Productivity impact],MATCH($H212,CopilotChanges[Change ID],0))</x:f>
        <x:v>Medium</x:v>
      </x:c>
      <x:c r="F212" s="19" t="str">
        <x:v>Avoid treating a policy threshold as an immediate cancellation guarantee.</x:v>
      </x:c>
      <x:c r="G212" s="19" t="str">
        <x:v>Released / rolling out; M365 Copilot entitlement; full terms unspecified; Verify tenant access and admin policy</x:v>
      </x:c>
      <x:c r="H212" s="68" t="str">
        <x:f>IFERROR(HYPERLINK("#'Change log'!A"&amp;(MATCH("COP-D8D2ECEC8B",CopilotChanges[Change ID],0)+10),"COP-D8D2ECEC8B"),"COP-D8D2ECEC8B")</x:f>
        <x:v>COP-D8D2ECEC8B</x:v>
      </x:c>
    </x:row>
    <x:row r="213" ht="58" customHeight="1">
      <x:c r="A213" s="74" t="n">
        <x:f>INDEX(CopilotChanges[Date of change / report],MATCH($H213,CopilotChanges[Change ID],0))</x:f>
        <x:v>46234</x:v>
      </x:c>
      <x:c r="B213" s="19" t="str">
        <x:v>Copilot cost management</x:v>
      </x:c>
      <x:c r="C213" s="19" t="str">
        <x:v>Multiple-policy enforcement</x:v>
      </x:c>
      <x:c r="D213" s="19" t="str">
        <x:v>Highest per-user limit stays governing.</x:v>
      </x:c>
      <x:c r="E213" s="22" t="str">
        <x:f>INDEX(CopilotChanges[Productivity impact],MATCH($H213,CopilotChanges[Change ID],0))</x:f>
        <x:v>Medium</x:v>
      </x:c>
      <x:c r="F213" s="19" t="str">
        <x:v>Test group membership against the intended budget before rollout.</x:v>
      </x:c>
      <x:c r="G213" s="19" t="str">
        <x:v>Released / rolling out; M365 Copilot entitlement; full terms unspecified; Verify tenant access and admin policy</x:v>
      </x:c>
      <x:c r="H213" s="68" t="str">
        <x:f>IFERROR(HYPERLINK("#'Change log'!A"&amp;(MATCH("COP-1FE0AA1CED",CopilotChanges[Change ID],0)+10),"COP-1FE0AA1CED"),"COP-1FE0AA1CED")</x:f>
        <x:v>COP-1FE0AA1CED</x:v>
      </x:c>
    </x:row>
    <x:row r="214" ht="58" customHeight="1">
      <x:c r="A214" s="74" t="n">
        <x:f>INDEX(CopilotChanges[Date of change / report],MATCH($H214,CopilotChanges[Change ID],0))</x:f>
        <x:v>46234</x:v>
      </x:c>
      <x:c r="B214" s="19" t="str">
        <x:v>Copilot cost management</x:v>
      </x:c>
      <x:c r="C214" s="19" t="str">
        <x:v>Spending alert reliability</x:v>
      </x:c>
      <x:c r="D214" s="19" t="str">
        <x:v>Updated spending alerts require recreation.</x:v>
      </x:c>
      <x:c r="E214" s="22" t="str">
        <x:f>INDEX(CopilotChanges[Productivity impact],MATCH($H214,CopilotChanges[Change ID],0))</x:f>
        <x:v>Medium</x:v>
      </x:c>
      <x:c r="F214" s="19" t="str">
        <x:v>Audit policies and recreate required notifications before increasing agent usage.</x:v>
      </x:c>
      <x:c r="G214" s="19" t="str">
        <x:v>Released / rolling out; M365 Copilot entitlement; full terms unspecified; Verify tenant access and admin policy</x:v>
      </x:c>
      <x:c r="H214" s="68" t="str">
        <x:f>IFERROR(HYPERLINK("#'Change log'!A"&amp;(MATCH("COP-635447E5A1",CopilotChanges[Change ID],0)+10),"COP-635447E5A1"),"COP-635447E5A1")</x:f>
        <x:v>COP-635447E5A1</x:v>
      </x:c>
    </x:row>
    <x:row r="215" ht="73" customHeight="1">
      <x:c r="A215" s="74" t="n">
        <x:f>INDEX(CopilotChanges[Date of change / report],MATCH($H215,CopilotChanges[Change ID],0))</x:f>
        <x:v>46234</x:v>
      </x:c>
      <x:c r="B215" s="19" t="str">
        <x:v>Copilot Cowork</x:v>
      </x:c>
      <x:c r="C215" s="19" t="str">
        <x:v>Skill import and sharing</x:v>
      </x:c>
      <x:c r="D215" s="19" t="str">
        <x:v>Import skills/plugins and share maintained versions.</x:v>
      </x:c>
      <x:c r="E215" s="22" t="str">
        <x:f>INDEX(CopilotChanges[Productivity impact],MATCH($H215,CopilotChanges[Change ID],0))</x:f>
        <x:v>High</x:v>
      </x:c>
      <x:c r="F215" s="19" t="str">
        <x:v>Share a reviewed weekly reporting procedure and distribute corrections from the owned copy.</x:v>
      </x:c>
      <x:c r="G215" s="19" t="str">
        <x:v>Released / rolling out; M365 Copilot entitlement; full terms unspecified; Supports .md, .zip, .skill; compatible plugin packages converted; sharing governed by organization</x:v>
      </x:c>
      <x:c r="H215" s="68" t="str">
        <x:f>IFERROR(HYPERLINK("#'Change log'!A"&amp;(MATCH("COP-D5F1FAF095",CopilotChanges[Change ID],0)+10),"COP-D5F1FAF095"),"COP-D5F1FAF095")</x:f>
        <x:v>COP-D5F1FAF095</x:v>
      </x:c>
    </x:row>
    <x:row r="216" ht="58" customHeight="1">
      <x:c r="A216" s="74" t="n">
        <x:f>INDEX(CopilotChanges[Date of change / report],MATCH($H216,CopilotChanges[Change ID],0))</x:f>
        <x:v>46234</x:v>
      </x:c>
      <x:c r="B216" s="19" t="str">
        <x:v>Copilot Cowork models</x:v>
      </x:c>
      <x:c r="C216" s="19" t="str">
        <x:v>Claude Fable 5</x:v>
      </x:c>
      <x:c r="D216" s="19" t="str">
        <x:v>Long-running-work model choice added.</x:v>
      </x:c>
      <x:c r="E216" s="22" t="str">
        <x:f>INDEX(CopilotChanges[Productivity impact],MATCH($H216,CopilotChanges[Change ID],0))</x:f>
        <x:v>Medium</x:v>
      </x:c>
      <x:c r="F216" s="19" t="str">
        <x:v>Trial a complex research assignment and compare it with another model.</x:v>
      </x:c>
      <x:c r="G216" s="19" t="str">
        <x:v>Released / rolling out; M365 Copilot entitlement; full terms unspecified; Off by default; admin enablement and availability apply</x:v>
      </x:c>
      <x:c r="H216" s="68" t="str">
        <x:f>IFERROR(HYPERLINK("#'Change log'!A"&amp;(MATCH("COP-CE8DACBDE6",CopilotChanges[Change ID],0)+10),"COP-CE8DACBDE6"),"COP-CE8DACBDE6")</x:f>
        <x:v>COP-CE8DACBDE6</x:v>
      </x:c>
    </x:row>
    <x:row r="217" ht="58" customHeight="1">
      <x:c r="A217" s="74" t="n">
        <x:f>INDEX(CopilotChanges[Date of change / report],MATCH($H217,CopilotChanges[Change ID],0))</x:f>
        <x:v>46234</x:v>
      </x:c>
      <x:c r="B217" s="19" t="str">
        <x:v>Copilot mobile</x:v>
      </x:c>
      <x:c r="C217" s="19" t="str">
        <x:v>Proactive work notifications</x:v>
      </x:c>
      <x:c r="D217" s="19" t="str">
        <x:v>Work prompts arrive as push notifications.</x:v>
      </x:c>
      <x:c r="E217" s="22" t="str">
        <x:f>INDEX(CopilotChanges[Productivity impact],MATCH($H217,CopilotChanges[Change ID],0))</x:f>
        <x:v>Medium</x:v>
      </x:c>
      <x:c r="F217" s="19" t="str">
        <x:v>Review a day-at-a-glance prompt before commuting.</x:v>
      </x:c>
      <x:c r="G217" s="19" t="str">
        <x:v>Released / rolling out; Paid M365 Copilot license required; iOS and Android</x:v>
      </x:c>
      <x:c r="H217" s="68" t="str">
        <x:f>IFERROR(HYPERLINK("#'Change log'!A"&amp;(MATCH("COP-1CC0DCB11B",CopilotChanges[Change ID],0)+10),"COP-1CC0DCB11B"),"COP-1CC0DCB11B")</x:f>
        <x:v>COP-1CC0DCB11B</x:v>
      </x:c>
    </x:row>
    <x:row r="218" ht="58" customHeight="1">
      <x:c r="A218" s="74" t="n">
        <x:f>INDEX(CopilotChanges[Date of change / report],MATCH($H218,CopilotChanges[Change ID],0))</x:f>
        <x:v>46234</x:v>
      </x:c>
      <x:c r="B218" s="19" t="str">
        <x:v>Copilot Search</x:v>
      </x:c>
      <x:c r="C218" s="19" t="str">
        <x:v>Concise search answers</x:v>
      </x:c>
      <x:c r="D218" s="19" t="str">
        <x:v>Shorter answers and clearer chat continuation.</x:v>
      </x:c>
      <x:c r="E218" s="22" t="str">
        <x:f>INDEX(CopilotChanges[Productivity impact],MATCH($H218,CopilotChanges[Change ID],0))</x:f>
        <x:v>Low</x:v>
      </x:c>
      <x:c r="F218" s="19" t="str">
        <x:v>Scan an answer quickly, then open follow-up chat for clarification.</x:v>
      </x:c>
      <x:c r="G218" s="19" t="str">
        <x:v>Released / rolling out; M365 Copilot entitlement; full terms unspecified; Verify tenant access and admin policy</x:v>
      </x:c>
      <x:c r="H218" s="68" t="str">
        <x:f>IFERROR(HYPERLINK("#'Change log'!A"&amp;(MATCH("COP-1B60ACE17F",CopilotChanges[Change ID],0)+10),"COP-1B60ACE17F"),"COP-1B60ACE17F")</x:f>
        <x:v>COP-1B60ACE17F</x:v>
      </x:c>
    </x:row>
    <x:row r="219" ht="58" customHeight="1">
      <x:c r="A219" s="74" t="n">
        <x:f>INDEX(CopilotChanges[Date of change / report],MATCH($H219,CopilotChanges[Change ID],0))</x:f>
        <x:v>46234</x:v>
      </x:c>
      <x:c r="B219" s="19" t="str">
        <x:v>Copilot Search governance</x:v>
      </x:c>
      <x:c r="C219" s="19" t="str">
        <x:v>Web-domain exclusions</x:v>
      </x:c>
      <x:c r="D219" s="19" t="str">
        <x:v>Administrators can exclude up to 1,000 web domains.</x:v>
      </x:c>
      <x:c r="E219" s="22" t="str">
        <x:f>INDEX(CopilotChanges[Productivity impact],MATCH($H219,CopilotChanges[Change ID],0))</x:f>
        <x:v>Medium</x:v>
      </x:c>
      <x:c r="F219" s="19" t="str">
        <x:v>Reduce inappropriate evidence sources in research workflows while keeping a reviewable governance policy.</x:v>
      </x:c>
      <x:c r="G219" s="19" t="str">
        <x:v>Released / rolling out; M365 Copilot; verify entitlement; Platform unspecified; verify tenant access</x:v>
      </x:c>
      <x:c r="H219" s="68" t="str">
        <x:f>IFERROR(HYPERLINK("#'Change log'!A"&amp;(MATCH("COP-3CCB097DEA",CopilotChanges[Change ID],0)+10),"COP-3CCB097DEA"),"COP-3CCB097DEA")</x:f>
        <x:v>COP-3CCB097DEA</x:v>
      </x:c>
    </x:row>
    <x:row r="220" ht="58" customHeight="1">
      <x:c r="A220" s="74" t="n">
        <x:f>INDEX(CopilotChanges[Date of change / report],MATCH($H220,CopilotChanges[Change ID],0))</x:f>
        <x:v>46234</x:v>
      </x:c>
      <x:c r="B220" s="19" t="str">
        <x:v>PowerPoint</x:v>
      </x:c>
      <x:c r="C220" s="19" t="str">
        <x:v>Comment actions</x:v>
      </x:c>
      <x:c r="D220" s="19" t="str">
        <x:v>Create, answer, and resolve slide comments conversationally.</x:v>
      </x:c>
      <x:c r="E220" s="22" t="str">
        <x:f>INDEX(CopilotChanges[Productivity impact],MATCH($H220,CopilotChanges[Change ID],0))</x:f>
        <x:v>Medium</x:v>
      </x:c>
      <x:c r="F220" s="19" t="str">
        <x:v>Work through a bid-review deck without manually opening and updating each comment thread.</x:v>
      </x:c>
      <x:c r="G220" s="19" t="str">
        <x:v>Released / rolling out; M365 Copilot; verify entitlement; Platform unspecified; verify tenant access</x:v>
      </x:c>
      <x:c r="H220" s="68" t="str">
        <x:f>IFERROR(HYPERLINK("#'Change log'!A"&amp;(MATCH("COP-C053A26F9C",CopilotChanges[Change ID],0)+10),"COP-C053A26F9C"),"COP-C053A26F9C")</x:f>
        <x:v>COP-C053A26F9C</x:v>
      </x:c>
    </x:row>
    <x:row r="221" ht="58" customHeight="1">
      <x:c r="A221" s="74" t="n">
        <x:f>INDEX(CopilotChanges[Date of change / report],MATCH($H221,CopilotChanges[Change ID],0))</x:f>
        <x:v>46234</x:v>
      </x:c>
      <x:c r="B221" s="19" t="str">
        <x:v>PowerPoint</x:v>
      </x:c>
      <x:c r="C221" s="19" t="str">
        <x:v>Mobile multi-step editing</x:v>
      </x:c>
      <x:c r="D221" s="19" t="str">
        <x:v>iOS and iPad gain multi-step actions, file grounding, and background work.</x:v>
      </x:c>
      <x:c r="E221" s="22" t="str">
        <x:f>INDEX(CopilotChanges[Productivity impact],MATCH($H221,CopilotChanges[Change ID],0))</x:f>
        <x:v>Medium</x:v>
      </x:c>
      <x:c r="F221" s="19" t="str">
        <x:v>Request edits between meetings and return to review the resulting presentation.</x:v>
      </x:c>
      <x:c r="G221" s="19" t="str">
        <x:v>Released / rolling out; M365 Copilot; verify entitlement; iOS and iPad</x:v>
      </x:c>
      <x:c r="H221" s="68" t="str">
        <x:f>IFERROR(HYPERLINK("#'Change log'!A"&amp;(MATCH("COP-F0EB5AB04C",CopilotChanges[Change ID],0)+10),"COP-F0EB5AB04C"),"COP-F0EB5AB04C")</x:f>
        <x:v>COP-F0EB5AB04C</x:v>
      </x:c>
    </x:row>
    <x:row r="222" ht="58" customHeight="1">
      <x:c r="A222" s="74" t="n">
        <x:f>INDEX(CopilotChanges[Date of change / report],MATCH($H222,CopilotChanges[Change ID],0))</x:f>
        <x:v>46234</x:v>
      </x:c>
      <x:c r="B222" s="19" t="str">
        <x:v>SharePoint / OneDrive administration</x:v>
      </x:c>
      <x:c r="C222" s="19" t="str">
        <x:v>Agent access heatmap</x:v>
      </x:c>
      <x:c r="D222" s="19" t="str">
        <x:v>Visualizes agent access activity.</x:v>
      </x:c>
      <x:c r="E222" s="22" t="str">
        <x:f>INDEX(CopilotChanges[Productivity impact],MATCH($H222,CopilotChanges[Change ID],0))</x:f>
        <x:v>Medium</x:v>
      </x:c>
      <x:c r="F222" s="19" t="str">
        <x:v>Review hotspots before expanding an agent pilot.</x:v>
      </x:c>
      <x:c r="G222" s="19" t="str">
        <x:v>Released / rolling out; M365 Copilot entitlement; full terms unspecified; Verify tenant access and admin policy</x:v>
      </x:c>
      <x:c r="H222" s="68" t="str">
        <x:f>IFERROR(HYPERLINK("#'Change log'!A"&amp;(MATCH("COP-4395B27FD0",CopilotChanges[Change ID],0)+10),"COP-4395B27FD0"),"COP-4395B27FD0")</x:f>
        <x:v>COP-4395B27FD0</x:v>
      </x:c>
    </x:row>
    <x:row r="223" ht="58" customHeight="1">
      <x:c r="A223" s="74" t="n">
        <x:f>INDEX(CopilotChanges[Date of change / report],MATCH($H223,CopilotChanges[Change ID],0))</x:f>
        <x:v>46234</x:v>
      </x:c>
      <x:c r="B223" s="19" t="str">
        <x:v>Teams</x:v>
      </x:c>
      <x:c r="C223" s="19" t="str">
        <x:v>Meeting Recaps app</x:v>
      </x:c>
      <x:c r="D223" s="19" t="str">
        <x:v>Centralized AI recaps cover the preceding 30 days.</x:v>
      </x:c>
      <x:c r="E223" s="22" t="str">
        <x:f>INDEX(CopilotChanges[Productivity impact],MATCH($H223,CopilotChanges[Change ID],0))</x:f>
        <x:v>Medium</x:v>
      </x:c>
      <x:c r="F223" s="19" t="str">
        <x:v>Catch up after leave using one recap queue rather than opening individual meetings.</x:v>
      </x:c>
      <x:c r="G223" s="19" t="str">
        <x:v>Released / rolling out; M365 Copilot; verify entitlement; Platform unspecified; verify tenant access</x:v>
      </x:c>
      <x:c r="H223" s="68" t="str">
        <x:f>IFERROR(HYPERLINK("#'Change log'!A"&amp;(MATCH("COP-DBB2211F60",CopilotChanges[Change ID],0)+10),"COP-DBB2211F60"),"COP-DBB2211F60")</x:f>
        <x:v>COP-DBB2211F60</x:v>
      </x:c>
    </x:row>
    <x:row r="224" ht="58" customHeight="1">
      <x:c r="A224" s="74" t="n">
        <x:f>INDEX(CopilotChanges[Date of change / report],MATCH($H224,CopilotChanges[Change ID],0))</x:f>
        <x:v>46234</x:v>
      </x:c>
      <x:c r="B224" s="19" t="str">
        <x:v>Word</x:v>
      </x:c>
      <x:c r="C224" s="19" t="str">
        <x:v>Document structure editing</x:v>
      </x:c>
      <x:c r="D224" s="19" t="str">
        <x:v>Copilot manages contents tables, headers, footers, numbering, dates, and footnotes.</x:v>
      </x:c>
      <x:c r="E224" s="22" t="str">
        <x:f>INDEX(CopilotChanges[Productivity impact],MATCH($H224,CopilotChanges[Change ID],0))</x:f>
        <x:v>Medium</x:v>
      </x:c>
      <x:c r="F224" s="19" t="str">
        <x:v>Reduce formatting work when converting a rough proposal into a review-ready report.</x:v>
      </x:c>
      <x:c r="G224" s="19" t="str">
        <x:v>Released / rolling out; M365 Copilot; verify entitlement; Platform unspecified; verify tenant access</x:v>
      </x:c>
      <x:c r="H224" s="68" t="str">
        <x:f>IFERROR(HYPERLINK("#'Change log'!A"&amp;(MATCH("COP-733AC49EAE",CopilotChanges[Change ID],0)+10),"COP-733AC49EAE"),"COP-733AC49EAE")</x:f>
        <x:v>COP-733AC49EAE</x:v>
      </x:c>
    </x:row>
    <x:row r="225" ht="58" customHeight="1">
      <x:c r="A225" s="74" t="n">
        <x:f>INDEX(CopilotChanges[Date of change / report],MATCH($H225,CopilotChanges[Change ID],0))</x:f>
        <x:v>46232</x:v>
      </x:c>
      <x:c r="B225" s="19" t="str">
        <x:v>Agent Builder</x:v>
      </x:c>
      <x:c r="C225" s="19" t="str">
        <x:v>SharePoint list grounding</x:v>
      </x:c>
      <x:c r="D225" s="19" t="str">
        <x:v>Use structured list knowledge.</x:v>
      </x:c>
      <x:c r="E225" s="22" t="str">
        <x:f>INDEX(CopilotChanges[Productivity impact],MATCH($H225,CopilotChanges[Change ID],0))</x:f>
        <x:v>High</x:v>
      </x:c>
      <x:c r="F225" s="19" t="str">
        <x:v>Ground a narrow business assistant in an operational register.</x:v>
      </x:c>
      <x:c r="G225" s="19" t="str">
        <x:v>GA release-note batch; M365 Copilot; verify entitlement; Windows, web</x:v>
      </x:c>
      <x:c r="H225" s="68" t="str">
        <x:f>IFERROR(HYPERLINK("#'Change log'!A"&amp;(MATCH("COP-256FE77522",CopilotChanges[Change ID],0)+10),"COP-256FE77522"),"COP-256FE77522")</x:f>
        <x:v>COP-256FE77522</x:v>
      </x:c>
    </x:row>
    <x:row r="226" ht="58" customHeight="1">
      <x:c r="A226" s="74" t="n">
        <x:f>INDEX(CopilotChanges[Date of change / report],MATCH($H226,CopilotChanges[Change ID],0))</x:f>
        <x:v>46232</x:v>
      </x:c>
      <x:c r="B226" s="19" t="str">
        <x:v>Copilot Chat</x:v>
      </x:c>
      <x:c r="C226" s="19" t="str">
        <x:v>Attachment discovery</x:v>
      </x:c>
      <x:c r="D226" s="19" t="str">
        <x:v>Copilot can identify file attachments that a user has sent or received through email.</x:v>
      </x:c>
      <x:c r="E226" s="22" t="str">
        <x:f>INDEX(CopilotChanges[Productivity impact],MATCH($H226,CopilotChanges[Change ID],0))</x:f>
        <x:v>Medium</x:v>
      </x:c>
      <x:c r="F226" s="19" t="str">
        <x:v>Find which files were exchanged with a project group without opening each message manually.</x:v>
      </x:c>
      <x:c r="G226" s="19" t="str">
        <x:v>GA; staged rollout; License unconfirmed; Android, Windows, iOS, Mac, Web; regions unconfirmed</x:v>
      </x:c>
      <x:c r="H226" s="68" t="str">
        <x:f>IFERROR(HYPERLINK("#'Change log'!A"&amp;(MATCH("COP-8048DE666E",CopilotChanges[Change ID],0)+10),"COP-8048DE666E"),"COP-8048DE666E")</x:f>
        <x:v>COP-8048DE666E</x:v>
      </x:c>
    </x:row>
    <x:row r="227" ht="58" customHeight="1">
      <x:c r="A227" s="74" t="n">
        <x:f>INDEX(CopilotChanges[Date of change / report],MATCH($H227,CopilotChanges[Change ID],0))</x:f>
        <x:v>46232</x:v>
      </x:c>
      <x:c r="B227" s="19" t="str">
        <x:v>Copilot Chat</x:v>
      </x:c>
      <x:c r="C227" s="19" t="str">
        <x:v>Inline visuals</x:v>
      </x:c>
      <x:c r="D227" s="19" t="str">
        <x:v>Copilot responses can include images drawn from referenced files and meetings within the answer.</x:v>
      </x:c>
      <x:c r="E227" s="22" t="str">
        <x:f>INDEX(CopilotChanges[Productivity impact],MATCH($H227,CopilotChanges[Change ID],0))</x:f>
        <x:v>Medium</x:v>
      </x:c>
      <x:c r="F227" s="19" t="str">
        <x:v>Inspect a chart or diagram alongside the written answer when reviewing project evidence.</x:v>
      </x:c>
      <x:c r="G227" s="19" t="str">
        <x:v>GA; staged rollout; License unconfirmed; Windows, Web; regions unconfirmed</x:v>
      </x:c>
      <x:c r="H227" s="68" t="str">
        <x:f>IFERROR(HYPERLINK("#'Change log'!A"&amp;(MATCH("COP-3DDED608B2",CopilotChanges[Change ID],0)+10),"COP-3DDED608B2"),"COP-3DDED608B2")</x:f>
        <x:v>COP-3DDED608B2</x:v>
      </x:c>
    </x:row>
    <x:row r="228" ht="58" customHeight="1">
      <x:c r="A228" s="74" t="n">
        <x:f>INDEX(CopilotChanges[Date of change / report],MATCH($H228,CopilotChanges[Change ID],0))</x:f>
        <x:v>46232</x:v>
      </x:c>
      <x:c r="B228" s="19" t="str">
        <x:v>Copilot Chat</x:v>
      </x:c>
      <x:c r="C228" s="19" t="str">
        <x:v>List grounding</x:v>
      </x:c>
      <x:c r="D228" s="19" t="str">
        <x:v>The Context IQ picker in Copilot Chat can find and select SharePoint lists to ground a prompt.</x:v>
      </x:c>
      <x:c r="E228" s="22" t="str">
        <x:f>INDEX(CopilotChanges[Productivity impact],MATCH($H228,CopilotChanges[Change ID],0))</x:f>
        <x:v>Medium</x:v>
      </x:c>
      <x:c r="F228" s="19" t="str">
        <x:v>Use a structured issue list as prompt context when preparing a status explanation.</x:v>
      </x:c>
      <x:c r="G228" s="19" t="str">
        <x:v>GA; staged rollout; License unconfirmed; Web; regions unconfirmed</x:v>
      </x:c>
      <x:c r="H228" s="68" t="str">
        <x:f>IFERROR(HYPERLINK("#'Change log'!A"&amp;(MATCH("COP-6824DACC46",CopilotChanges[Change ID],0)+10),"COP-6824DACC46"),"COP-6824DACC46")</x:f>
        <x:v>COP-6824DACC46</x:v>
      </x:c>
    </x:row>
    <x:row r="229" ht="58" customHeight="1">
      <x:c r="A229" s="74" t="n">
        <x:f>INDEX(CopilotChanges[Date of change / report],MATCH($H229,CopilotChanges[Change ID],0))</x:f>
        <x:v>46232</x:v>
      </x:c>
      <x:c r="B229" s="19" t="str">
        <x:v>Copilot Chat</x:v>
      </x:c>
      <x:c r="C229" s="19" t="str">
        <x:v>Screenshot capture</x:v>
      </x:c>
      <x:c r="D229" s="19" t="str">
        <x:v>Capture visual prompt context.</x:v>
      </x:c>
      <x:c r="E229" s="22" t="str">
        <x:f>INDEX(CopilotChanges[Productivity impact],MATCH($H229,CopilotChanges[Change ID],0))</x:f>
        <x:v>Low</x:v>
      </x:c>
      <x:c r="F229" s="19" t="str">
        <x:v>Provide the exact visible problem when asking for assistance.</x:v>
      </x:c>
      <x:c r="G229" s="19" t="str">
        <x:v>GA release-note batch; M365 Copilot; verify entitlement; Windows</x:v>
      </x:c>
      <x:c r="H229" s="68" t="str">
        <x:f>IFERROR(HYPERLINK("#'Change log'!A"&amp;(MATCH("COP-0501658975",CopilotChanges[Change ID],0)+10),"COP-0501658975"),"COP-0501658975")</x:f>
        <x:v>COP-0501658975</x:v>
      </x:c>
    </x:row>
    <x:row r="230" ht="58" customHeight="1">
      <x:c r="A230" s="74" t="n">
        <x:f>INDEX(CopilotChanges[Date of change / report],MATCH($H230,CopilotChanges[Change ID],0))</x:f>
        <x:v>46232</x:v>
      </x:c>
      <x:c r="B230" s="19" t="str">
        <x:v>Custom engine agents</x:v>
      </x:c>
      <x:c r="C230" s="19" t="str">
        <x:v>Card refresh</x:v>
      </x:c>
      <x:c r="D230" s="19" t="str">
        <x:v>Custom engine agents can refresh adaptive cards to update the content displayed during an interaction.</x:v>
      </x:c>
      <x:c r="E230" s="22" t="str">
        <x:f>INDEX(CopilotChanges[Productivity impact],MATCH($H230,CopilotChanges[Change ID],0))</x:f>
        <x:v>Low</x:v>
      </x:c>
      <x:c r="F230" s="19" t="str">
        <x:v>Keep a displayed task status current during an agent interaction rather than relying on an old card.</x:v>
      </x:c>
      <x:c r="G230" s="19" t="str">
        <x:v>GA; staged rollout; License unconfirmed; Web; regions unconfirmed</x:v>
      </x:c>
      <x:c r="H230" s="68" t="str">
        <x:f>IFERROR(HYPERLINK("#'Change log'!A"&amp;(MATCH("COP-62B5C24E53",CopilotChanges[Change ID],0)+10),"COP-62B5C24E53"),"COP-62B5C24E53")</x:f>
        <x:v>COP-62B5C24E53</x:v>
      </x:c>
    </x:row>
    <x:row r="231" ht="58" customHeight="1">
      <x:c r="A231" s="74" t="n">
        <x:f>INDEX(CopilotChanges[Date of change / report],MATCH($H231,CopilotChanges[Change ID],0))</x:f>
        <x:v>46232</x:v>
      </x:c>
      <x:c r="B231" s="19" t="str">
        <x:v>OneDrive</x:v>
      </x:c>
      <x:c r="C231" s="19" t="str">
        <x:v>Preview shortcut</x:v>
      </x:c>
      <x:c r="D231" s="19" t="str">
        <x:v>OneDrive’s file preview gains a floating Copilot entry button and file-type-specific suggested prompts.</x:v>
      </x:c>
      <x:c r="E231" s="22" t="str">
        <x:f>INDEX(CopilotChanges[Productivity impact],MATCH($H231,CopilotChanges[Change ID],0))</x:f>
        <x:v>Low</x:v>
      </x:c>
      <x:c r="F231" s="19" t="str">
        <x:v>Ask about the file already being previewed when sorting a project document set.</x:v>
      </x:c>
      <x:c r="G231" s="19" t="str">
        <x:v>GA; staged rollout; License unconfirmed; Web; regions unconfirmed</x:v>
      </x:c>
      <x:c r="H231" s="68" t="str">
        <x:f>IFERROR(HYPERLINK("#'Change log'!A"&amp;(MATCH("COP-57F3D1F54F",CopilotChanges[Change ID],0)+10),"COP-57F3D1F54F"),"COP-57F3D1F54F")</x:f>
        <x:v>COP-57F3D1F54F</x:v>
      </x:c>
    </x:row>
    <x:row r="232" ht="58" customHeight="1">
      <x:c r="A232" s="74" t="n">
        <x:f>INDEX(CopilotChanges[Date of change / report],MATCH($H232,CopilotChanges[Change ID],0))</x:f>
        <x:v>46232</x:v>
      </x:c>
      <x:c r="B232" s="19" t="str">
        <x:v>OneNote / Copilot Notebooks</x:v>
      </x:c>
      <x:c r="C232" s="19" t="str">
        <x:v>Overview refresh</x:v>
      </x:c>
      <x:c r="D232" s="19" t="str">
        <x:v>The OneNote notebook overview is redesigned around AI summaries, key findings and shortcuts to generated outputs.</x:v>
      </x:c>
      <x:c r="E232" s="22" t="str">
        <x:f>INDEX(CopilotChanges[Productivity impact],MATCH($H232,CopilotChanges[Change ID],0))</x:f>
        <x:v>Low</x:v>
      </x:c>
      <x:c r="F232" s="19" t="str">
        <x:v>Resume a notebook by reviewing its overview before choosing the next deliverable.</x:v>
      </x:c>
      <x:c r="G232" s="19" t="str">
        <x:v>GA; staged rollout; License unconfirmed; Windows, Mac, Web; regions unconfirmed</x:v>
      </x:c>
      <x:c r="H232" s="68" t="str">
        <x:f>IFERROR(HYPERLINK("#'Change log'!A"&amp;(MATCH("COP-AB07496C1F",CopilotChanges[Change ID],0)+10),"COP-AB07496C1F"),"COP-AB07496C1F")</x:f>
        <x:v>COP-AB07496C1F</x:v>
      </x:c>
    </x:row>
    <x:row r="233" ht="58" customHeight="1">
      <x:c r="A233" s="74" t="n">
        <x:f>INDEX(CopilotChanges[Date of change / report],MATCH($H233,CopilotChanges[Change ID],0))</x:f>
        <x:v>46231</x:v>
      </x:c>
      <x:c r="B233" s="19" t="str">
        <x:v>Excel</x:v>
      </x:c>
      <x:c r="C233" s="19" t="str">
        <x:v>AutoSave-off compatibility</x:v>
      </x:c>
      <x:c r="D233" s="19" t="str">
        <x:v>Cloud workbooks can use Copilot with AutoSave disabled.</x:v>
      </x:c>
      <x:c r="E233" s="22" t="str">
        <x:f>INDEX(CopilotChanges[Productivity impact],MATCH($H233,CopilotChanges[Change ID],0))</x:f>
        <x:v>Medium</x:v>
      </x:c>
      <x:c r="F233" s="19" t="str">
        <x:v>Use AI assistance in existing controlled workbook practices without changing the saving workflow first.</x:v>
      </x:c>
      <x:c r="G233" s="19" t="str">
        <x:v>Rolling out; M365 Copilot; verify entitlement; Windows and Mac; cloud-saved workbooks</x:v>
      </x:c>
      <x:c r="H233" s="68" t="str">
        <x:f>IFERROR(HYPERLINK("#'Change log'!A"&amp;(MATCH("COP-F50A9AD7E0",CopilotChanges[Change ID],0)+10),"COP-F50A9AD7E0"),"COP-F50A9AD7E0")</x:f>
        <x:v>COP-F50A9AD7E0</x:v>
      </x:c>
    </x:row>
    <x:row r="234" ht="58" customHeight="1">
      <x:c r="A234" s="74" t="n">
        <x:f>INDEX(CopilotChanges[Date of change / report],MATCH($H234,CopilotChanges[Change ID],0))</x:f>
        <x:v>46231</x:v>
      </x:c>
      <x:c r="B234" s="19" t="str">
        <x:v>Excel</x:v>
      </x:c>
      <x:c r="C234" s="19" t="str">
        <x:v>Brand Kit formatting</x:v>
      </x:c>
      <x:c r="D234" s="19" t="str">
        <x:v>Apply organizational colors, fonts, and logos.</x:v>
      </x:c>
      <x:c r="E234" s="22" t="str">
        <x:f>INDEX(CopilotChanges[Productivity impact],MATCH($H234,CopilotChanges[Change ID],0))</x:f>
        <x:v>Medium</x:v>
      </x:c>
      <x:c r="F234" s="19" t="str">
        <x:v>Produce consistent customer-facing analysis packs without repeatedly styling tables and charts.</x:v>
      </x:c>
      <x:c r="G234" s="19" t="str">
        <x:v>Released / rolling out; M365 Copilot; verify entitlement; Windows, Mac, web</x:v>
      </x:c>
      <x:c r="H234" s="68" t="str">
        <x:f>IFERROR(HYPERLINK("#'Change log'!A"&amp;(MATCH("COP-37F1AA52C0",CopilotChanges[Change ID],0)+10),"COP-37F1AA52C0"),"COP-37F1AA52C0")</x:f>
        <x:v>COP-37F1AA52C0</x:v>
      </x:c>
    </x:row>
    <x:row r="235" ht="58" customHeight="1">
      <x:c r="A235" s="74" t="n">
        <x:f>INDEX(CopilotChanges[Date of change / report],MATCH($H235,CopilotChanges[Change ID],0))</x:f>
        <x:v>46231</x:v>
      </x:c>
      <x:c r="B235" s="19" t="str">
        <x:v>Excel</x:v>
      </x:c>
      <x:c r="C235" s="19" t="str">
        <x:v>Power BI grounding</x:v>
      </x:c>
      <x:c r="D235" s="19" t="str">
        <x:v>Analyze governed report data with existing row-level security.</x:v>
      </x:c>
      <x:c r="E235" s="22" t="str">
        <x:f>INDEX(CopilotChanges[Productivity impact],MATCH($H235,CopilotChanges[Change ID],0))</x:f>
        <x:v>High</x:v>
      </x:c>
      <x:c r="F235" s="19" t="str">
        <x:v>Build a business review from approved sales metrics instead of reconciling manual exports.</x:v>
      </x:c>
      <x:c r="G235" s="19" t="str">
        <x:v>Rolling out; M365 Copilot; verify entitlement; Windows, Mac, web</x:v>
      </x:c>
      <x:c r="H235" s="68" t="str">
        <x:f>IFERROR(HYPERLINK("#'Change log'!A"&amp;(MATCH("COP-689B34789C",CopilotChanges[Change ID],0)+10),"COP-689B34789C"),"COP-689B34789C")</x:f>
        <x:v>COP-689B34789C</x:v>
      </x:c>
    </x:row>
    <x:row r="236" ht="58" customHeight="1">
      <x:c r="A236" s="74" t="n">
        <x:f>INDEX(CopilotChanges[Date of change / report],MATCH($H236,CopilotChanges[Change ID],0))</x:f>
        <x:v>46231</x:v>
      </x:c>
      <x:c r="B236" s="19" t="str">
        <x:v>Excel</x:v>
      </x:c>
      <x:c r="C236" s="19" t="str">
        <x:v>Richer inline citations</x:v>
      </x:c>
      <x:c r="D236" s="19" t="str">
        <x:v>Responses link more precisely to supporting content.</x:v>
      </x:c>
      <x:c r="E236" s="22" t="str">
        <x:f>INDEX(CopilotChanges[Productivity impact],MATCH($H236,CopilotChanges[Change ID],0))</x:f>
        <x:v>Medium</x:v>
      </x:c>
      <x:c r="F236" s="19" t="str">
        <x:v>Validate the origin of figures before using an AI-assisted workbook in a client recommendation.</x:v>
      </x:c>
      <x:c r="G236" s="19" t="str">
        <x:v>Released / rolling out; M365 Copilot; verify entitlement; Windows, Mac, web</x:v>
      </x:c>
      <x:c r="H236" s="68" t="str">
        <x:f>IFERROR(HYPERLINK("#'Change log'!A"&amp;(MATCH("COP-520AA56F03",CopilotChanges[Change ID],0)+10),"COP-520AA56F03"),"COP-520AA56F03")</x:f>
        <x:v>COP-520AA56F03</x:v>
      </x:c>
    </x:row>
    <x:row r="237" ht="58" customHeight="1">
      <x:c r="A237" s="74" t="n">
        <x:f>INDEX(CopilotChanges[Date of change / report],MATCH($H237,CopilotChanges[Change ID],0))</x:f>
        <x:v>46231</x:v>
      </x:c>
      <x:c r="B237" s="19" t="str">
        <x:v>Excel</x:v>
      </x:c>
      <x:c r="C237" s="19" t="str">
        <x:v>Theme design skill</x:v>
      </x:c>
      <x:c r="D237" s="19" t="str">
        <x:v>Coordinated styling for tables, charts, and worksheet layout.</x:v>
      </x:c>
      <x:c r="E237" s="22" t="str">
        <x:f>INDEX(CopilotChanges[Productivity impact],MATCH($H237,CopilotChanges[Change ID],0))</x:f>
        <x:v>Low</x:v>
      </x:c>
      <x:c r="F237" s="19" t="str">
        <x:v>Turn working analysis into a legible review workbook before a management meeting.</x:v>
      </x:c>
      <x:c r="G237" s="19" t="str">
        <x:v>Rolling out; M365 Copilot; verify entitlement; Windows, Mac, web</x:v>
      </x:c>
      <x:c r="H237" s="68" t="str">
        <x:f>IFERROR(HYPERLINK("#'Change log'!A"&amp;(MATCH("COP-D877386B7F",CopilotChanges[Change ID],0)+10),"COP-D877386B7F"),"COP-D877386B7F")</x:f>
        <x:v>COP-D877386B7F</x:v>
      </x:c>
    </x:row>
    <x:row r="238" ht="73" customHeight="1">
      <x:c r="A238" s="71" t="n">
        <x:f>INDEX(CopilotChanges[Date of change / report],MATCH($H238,CopilotChanges[Change ID],0))</x:f>
        <x:v>46223</x:v>
      </x:c>
      <x:c r="B238" s="19" t="str">
        <x:v>Teams Phone Agent</x:v>
      </x:c>
      <x:c r="C238" s="19" t="str">
        <x:v>Historical reporting</x:v>
      </x:c>
      <x:c r="D238" s="19" t="str">
        <x:v>Call-agent reporting becomes available.</x:v>
      </x:c>
      <x:c r="E238" s="22" t="str">
        <x:f>INDEX(CopilotChanges[Productivity impact],MATCH($H238,CopilotChanges[Change ID],0))</x:f>
        <x:v>Medium</x:v>
      </x:c>
      <x:c r="F238" s="19" t="str">
        <x:v>Inspect whether automated reception helps callers or requires routing changes.</x:v>
      </x:c>
      <x:c r="G238" s="19" t="str">
        <x:v>Preview enhancement; Teams Phone/admin prerequisites; metered Copilot Credits; funded spending policy; India excluded; Auto Attendant fallback without policy or credits</x:v>
      </x:c>
      <x:c r="H238" s="68" t="str">
        <x:f>IFERROR(HYPERLINK("#'Change log'!A"&amp;(MATCH("COP-470B57A847",CopilotChanges[Change ID],0)+10),"COP-470B57A847"),"COP-470B57A847")</x:f>
        <x:v>COP-470B57A847</x:v>
      </x:c>
    </x:row>
    <x:row r="239" ht="58" customHeight="1">
      <x:c r="A239" s="74" t="n">
        <x:f>INDEX(CopilotChanges[Date of change / report],MATCH($H239,CopilotChanges[Change ID],0))</x:f>
        <x:v>46218</x:v>
      </x:c>
      <x:c r="B239" s="19" t="str">
        <x:v>M365 admin center</x:v>
      </x:c>
      <x:c r="C239" s="19" t="str">
        <x:v>Agent Builder publishing with admin review</x:v>
      </x:c>
      <x:c r="D239" s="19" t="str">
        <x:v>Route internally built agents through approval before organization-wide discovery.</x:v>
      </x:c>
      <x:c r="E239" s="22" t="str">
        <x:f>INDEX(CopilotChanges[Productivity impact],MATCH($H239,CopilotChanges[Change ID],0))</x:f>
        <x:v>High</x:v>
      </x:c>
      <x:c r="F239" s="19" t="str">
        <x:v>Reuse an approved policy-answering agent across departments.</x:v>
      </x:c>
      <x:c r="G239" s="19" t="str">
        <x:v>GA-listed; staged rollout; License unspecified; verify tenant entitlement; Windows, Web</x:v>
      </x:c>
      <x:c r="H239" s="68" t="str">
        <x:f>IFERROR(HYPERLINK("#'Change log'!A"&amp;(MATCH("COP-845E1C362F",CopilotChanges[Change ID],0)+10),"COP-845E1C362F"),"COP-845E1C362F")</x:f>
        <x:v>COP-845E1C362F</x:v>
      </x:c>
    </x:row>
    <x:row r="240" ht="58" customHeight="1">
      <x:c r="A240" s="74" t="n">
        <x:f>INDEX(CopilotChanges[Date of change / report],MATCH($H240,CopilotChanges[Change ID],0))</x:f>
        <x:v>46218</x:v>
      </x:c>
      <x:c r="B240" s="19" t="str">
        <x:v>M365 Copilot</x:v>
      </x:c>
      <x:c r="C240" s="19" t="str">
        <x:v>Organization-wide prompt collections</x:v>
      </x:c>
      <x:c r="D240" s="19" t="str">
        <x:v>Administrators distribute business-specific prompt collections to their tenant.</x:v>
      </x:c>
      <x:c r="E240" s="22" t="str">
        <x:f>INDEX(CopilotChanges[Productivity impact],MATCH($H240,CopilotChanges[Change ID],0))</x:f>
        <x:v>Medium</x:v>
      </x:c>
      <x:c r="F240" s="19" t="str">
        <x:v>Publish tested proposal-review prompts for the sales team.</x:v>
      </x:c>
      <x:c r="G240" s="19" t="str">
        <x:v>GA-listed; staged rollout; License unspecified; verify tenant entitlement; Windows, Web</x:v>
      </x:c>
      <x:c r="H240" s="68" t="str">
        <x:f>IFERROR(HYPERLINK("#'Change log'!A"&amp;(MATCH("COP-9C8DAD5223",CopilotChanges[Change ID],0)+10),"COP-9C8DAD5223"),"COP-9C8DAD5223")</x:f>
        <x:v>COP-9C8DAD5223</x:v>
      </x:c>
    </x:row>
    <x:row r="241" ht="58" customHeight="1">
      <x:c r="A241" s="74" t="n">
        <x:f>INDEX(CopilotChanges[Date of change / report],MATCH($H241,CopilotChanges[Change ID],0))</x:f>
        <x:v>46218</x:v>
      </x:c>
      <x:c r="B241" s="19" t="str">
        <x:v>M365 Copilot app</x:v>
      </x:c>
      <x:c r="C241" s="19" t="str">
        <x:v>Brand kits from guidelines</x:v>
      </x:c>
      <x:c r="D241" s="19" t="str">
        <x:v>Extract a reusable visual brand kit from existing brand guidance.</x:v>
      </x:c>
      <x:c r="E241" s="22" t="str">
        <x:f>INDEX(CopilotChanges[Productivity impact],MATCH($H241,CopilotChanges[Change ID],0))</x:f>
        <x:v>Medium</x:v>
      </x:c>
      <x:c r="F241" s="19" t="str">
        <x:v>Apply one approved visual identity to recurring campaign assets.</x:v>
      </x:c>
      <x:c r="G241" s="19" t="str">
        <x:v>GA-listed; staged rollout; License unspecified; verify tenant entitlement; Web</x:v>
      </x:c>
      <x:c r="H241" s="68" t="str">
        <x:f>IFERROR(HYPERLINK("#'Change log'!A"&amp;(MATCH("COP-6433B6C9AE",CopilotChanges[Change ID],0)+10),"COP-6433B6C9AE"),"COP-6433B6C9AE")</x:f>
        <x:v>COP-6433B6C9AE</x:v>
      </x:c>
    </x:row>
    <x:row r="242" ht="58" customHeight="1">
      <x:c r="A242" s="74" t="n">
        <x:f>INDEX(CopilotChanges[Date of change / report],MATCH($H242,CopilotChanges[Change ID],0))</x:f>
        <x:v>46218</x:v>
      </x:c>
      <x:c r="B242" s="19" t="str">
        <x:v>M365 Copilot extensibility</x:v>
      </x:c>
      <x:c r="C242" s="19" t="str">
        <x:v>Central federated connector administration</x:v>
      </x:c>
      <x:c r="D242" s="19" t="str">
        <x:v>Manage federated connections alongside connectors in the M365 admin center.</x:v>
      </x:c>
      <x:c r="E242" s="22" t="str">
        <x:f>INDEX(CopilotChanges[Productivity impact],MATCH($H242,CopilotChanges[Change ID],0))</x:f>
        <x:v>Medium</x:v>
      </x:c>
      <x:c r="F242" s="19" t="str">
        <x:v>Review and control approved live-data integrations in one place.</x:v>
      </x:c>
      <x:c r="G242" s="19" t="str">
        <x:v>GA-listed; staged rollout; License unspecified; verify tenant entitlement; Web</x:v>
      </x:c>
      <x:c r="H242" s="68" t="str">
        <x:f>IFERROR(HYPERLINK("#'Change log'!A"&amp;(MATCH("COP-3328100BD5",CopilotChanges[Change ID],0)+10),"COP-3328100BD5"),"COP-3328100BD5")</x:f>
        <x:v>COP-3328100BD5</x:v>
      </x:c>
    </x:row>
    <x:row r="243" ht="58" customHeight="1">
      <x:c r="A243" s="74" t="n">
        <x:f>INDEX(CopilotChanges[Date of change / report],MATCH($H243,CopilotChanges[Change ID],0))</x:f>
        <x:v>46218</x:v>
      </x:c>
      <x:c r="B243" s="19" t="str">
        <x:v>M365 Copilot extensibility</x:v>
      </x:c>
      <x:c r="C243" s="19" t="str">
        <x:v>MCP-enabled agents inside Office apps</x:v>
      </x:c>
      <x:c r="D243" s="19" t="str">
        <x:v>Use agents backed by Model Context Protocol from Office app experiences.</x:v>
      </x:c>
      <x:c r="E243" s="22" t="str">
        <x:f>INDEX(CopilotChanges[Productivity impact],MATCH($H243,CopilotChanges[Change ID],0))</x:f>
        <x:v>High</x:v>
      </x:c>
      <x:c r="F243" s="19" t="str">
        <x:v>Bring an approved operational-system agent into document work.</x:v>
      </x:c>
      <x:c r="G243" s="19" t="str">
        <x:v>GA-listed; staged rollout; License unspecified; verify tenant entitlement; Web</x:v>
      </x:c>
      <x:c r="H243" s="68" t="str">
        <x:f>IFERROR(HYPERLINK("#'Change log'!A"&amp;(MATCH("COP-8CD0634C19",CopilotChanges[Change ID],0)+10),"COP-8CD0634C19"),"COP-8CD0634C19")</x:f>
        <x:v>COP-8CD0634C19</x:v>
      </x:c>
    </x:row>
    <x:row r="244" ht="58" customHeight="1">
      <x:c r="A244" s="74" t="n">
        <x:f>INDEX(CopilotChanges[Date of change / report],MATCH($H244,CopilotChanges[Change ID],0))</x:f>
        <x:v>46218</x:v>
      </x:c>
      <x:c r="B244" s="19" t="str">
        <x:v>M365 Copilot extensibility</x:v>
      </x:c>
      <x:c r="C244" s="19" t="str">
        <x:v>Nested connector permissions</x:v>
      </x:c>
      <x:c r="D244" s="19" t="str">
        <x:v>Confluence and ServiceNow connectors gain more granular nested-access handling.</x:v>
      </x:c>
      <x:c r="E244" s="22" t="str">
        <x:f>INDEX(CopilotChanges[Productivity impact],MATCH($H244,CopilotChanges[Change ID],0))</x:f>
        <x:v>Medium</x:v>
      </x:c>
      <x:c r="F244" s="19" t="str">
        <x:v>Reduce access mismatches when searching restricted departmental knowledge.</x:v>
      </x:c>
      <x:c r="G244" s="19" t="str">
        <x:v>GA-listed; staged rollout; License unspecified; verify tenant entitlement; Web</x:v>
      </x:c>
      <x:c r="H244" s="68" t="str">
        <x:f>IFERROR(HYPERLINK("#'Change log'!A"&amp;(MATCH("COP-F2DF4BE029",CopilotChanges[Change ID],0)+10),"COP-F2DF4BE029"),"COP-F2DF4BE029")</x:f>
        <x:v>COP-F2DF4BE029</x:v>
      </x:c>
    </x:row>
    <x:row r="245" ht="73" customHeight="1">
      <x:c r="A245" s="74" t="n">
        <x:f>INDEX(CopilotChanges[Date of change / report],MATCH($H245,CopilotChanges[Change ID],0))</x:f>
        <x:v>46212</x:v>
      </x:c>
      <x:c r="B245" s="19" t="str">
        <x:v>M365 Copilot</x:v>
      </x:c>
      <x:c r="C245" s="19" t="str">
        <x:v>GPT-5.6 model family rollout</x:v>
      </x:c>
      <x:c r="D245" s="19" t="str">
        <x:v>Roll out GPT-5.6 as a preferred model across core Copilot work surfaces.</x:v>
      </x:c>
      <x:c r="E245" s="22" t="str">
        <x:f>INDEX(CopilotChanges[Productivity impact],MATCH($H245,CopilotChanges[Change ID],0))</x:f>
        <x:v>High</x:v>
      </x:c>
      <x:c r="F245" s="19" t="str">
        <x:v>Retest standard prompts in Word, Excel, PowerPoint and delegated tasks.</x:v>
      </x:c>
      <x:c r="G245" s="19" t="str">
        <x:v>Rolling out; License unspecified; verify tenant entitlement; Word, Excel, PowerPoint, Chat and Cowork; region and tenant configuration affect availability</x:v>
      </x:c>
      <x:c r="H245" s="68" t="str">
        <x:f>IFERROR(HYPERLINK("#'Change log'!A"&amp;(MATCH("COP-6867EA0E85",CopilotChanges[Change ID],0)+10),"COP-6867EA0E85"),"COP-6867EA0E85")</x:f>
        <x:v>COP-6867EA0E85</x:v>
      </x:c>
    </x:row>
    <x:row r="246" ht="73" customHeight="1">
      <x:c r="A246" s="71" t="n">
        <x:f>INDEX(CopilotChanges[Date of change / report],MATCH($H246,CopilotChanges[Change ID],0))</x:f>
        <x:v>46212</x:v>
      </x:c>
      <x:c r="B246" s="19" t="str">
        <x:v>SharePoint Copilot Apps</x:v>
      </x:c>
      <x:c r="C246" s="19" t="str">
        <x:v>Interactive Copilot Apps public preview</x:v>
      </x:c>
      <x:c r="D246" s="19" t="str">
        <x:v>Build governed interactive business interfaces that run within Copilot.</x:v>
      </x:c>
      <x:c r="E246" s="22" t="str">
        <x:f>INDEX(CopilotChanges[Productivity impact],MATCH($H246,CopilotChanges[Change ID],0))</x:f>
        <x:v>High</x:v>
      </x:c>
      <x:c r="F246" s="19" t="str">
        <x:v>Prototype an approval panel or operational dashboard within Copilot.</x:v>
      </x:c>
      <x:c r="G246" s="19" t="str">
        <x:v>Public preview; No M365 Copilot license required for developers during preview; future licensing may change; SPFx 1.24 preview; global end-user rollout targeted for July 20</x:v>
      </x:c>
      <x:c r="H246" s="68" t="str">
        <x:f>IFERROR(HYPERLINK("#'Change log'!A"&amp;(MATCH("COP-518E331FAC",CopilotChanges[Change ID],0)+10),"COP-518E331FAC"),"COP-518E331FAC")</x:f>
        <x:v>COP-518E331FAC</x:v>
      </x:c>
    </x:row>
    <x:row r="247" ht="88" customHeight="1">
      <x:c r="A247" s="71" t="n">
        <x:f>INDEX(CopilotChanges[Date of change / report],MATCH($H247,CopilotChanges[Change ID],0))</x:f>
        <x:v>46205</x:v>
      </x:c>
      <x:c r="B247" s="19" t="str">
        <x:v>Sales Agent</x:v>
      </x:c>
      <x:c r="C247" s="19" t="str">
        <x:v>Sales Agent generally available</x:v>
      </x:c>
      <x:c r="D247" s="19" t="str">
        <x:v>Bring CRM and work context together for sales preparation and follow-up.</x:v>
      </x:c>
      <x:c r="E247" s="22" t="str">
        <x:f>INDEX(CopilotChanges[Productivity impact],MATCH($H247,CopilotChanges[Change ID],0))</x:f>
        <x:v>High</x:v>
      </x:c>
      <x:c r="F247" s="19" t="str">
        <x:v>Summarize an opportunity, capture meeting notes and update relevant CRM fields.</x:v>
      </x:c>
      <x:c r="G247" s="19" t="str">
        <x:v>GA; Not specified in announcement; CRM connectivity and relevant permissions required; Includes Outlook Mobile and Copilot app mobile use; Dynamics 365 Sales integration described</x:v>
      </x:c>
      <x:c r="H247" s="68" t="str">
        <x:f>IFERROR(HYPERLINK("#'Change log'!A"&amp;(MATCH("COP-98148070D0",CopilotChanges[Change ID],0)+10),"COP-98148070D0"),"COP-98148070D0")</x:f>
        <x:v>COP-98148070D0</x:v>
      </x:c>
    </x:row>
    <x:row r="248" ht="58" customHeight="1">
      <x:c r="A248" s="74" t="n">
        <x:f>INDEX(CopilotChanges[Date of change / report],MATCH($H248,CopilotChanges[Change ID],0))</x:f>
        <x:v>46204</x:v>
      </x:c>
      <x:c r="B248" s="19" t="str">
        <x:v>M365 Copilot app</x:v>
      </x:c>
      <x:c r="C248" s="19" t="str">
        <x:v>Agent progress in Windows taskbar</x:v>
      </x:c>
      <x:c r="D248" s="19" t="str">
        <x:v>Track long-running agent work through Windows taskbar integration.</x:v>
      </x:c>
      <x:c r="E248" s="22" t="str">
        <x:f>INDEX(CopilotChanges[Productivity impact],MATCH($H248,CopilotChanges[Change ID],0))</x:f>
        <x:v>Low</x:v>
      </x:c>
      <x:c r="F248" s="19" t="str">
        <x:v>Check a research job while working in another application.</x:v>
      </x:c>
      <x:c r="G248" s="19" t="str">
        <x:v>GA-listed; staged rollout; License unspecified; verify tenant entitlement; Windows</x:v>
      </x:c>
      <x:c r="H248" s="68" t="str">
        <x:f>IFERROR(HYPERLINK("#'Change log'!A"&amp;(MATCH("COP-CE6EEFAC08",CopilotChanges[Change ID],0)+10),"COP-CE6EEFAC08"),"COP-CE6EEFAC08")</x:f>
        <x:v>COP-CE6EEFAC08</x:v>
      </x:c>
    </x:row>
    <x:row r="249" ht="58" customHeight="1">
      <x:c r="A249" s="74" t="n">
        <x:f>INDEX(CopilotChanges[Date of change / report],MATCH($H249,CopilotChanges[Change ID],0))</x:f>
        <x:v>46204</x:v>
      </x:c>
      <x:c r="B249" s="19" t="str">
        <x:v>M365 Copilot app</x:v>
      </x:c>
      <x:c r="C249" s="19" t="str">
        <x:v>AI-content watermark control</x:v>
      </x:c>
      <x:c r="D249" s="19" t="str">
        <x:v>Administrators can require watermarking on supported AI-generated outputs.</x:v>
      </x:c>
      <x:c r="E249" s="22" t="str">
        <x:f>INDEX(CopilotChanges[Productivity impact],MATCH($H249,CopilotChanges[Change ID],0))</x:f>
        <x:v>Medium</x:v>
      </x:c>
      <x:c r="F249" s="19" t="str">
        <x:v>Make AI-created visual content identifiable under an internal disclosure policy.</x:v>
      </x:c>
      <x:c r="G249" s="19" t="str">
        <x:v>GA-listed; staged rollout; License unspecified; verify tenant entitlement; Android, Windows, iOS, Mac, Web</x:v>
      </x:c>
      <x:c r="H249" s="68" t="str">
        <x:f>IFERROR(HYPERLINK("#'Change log'!A"&amp;(MATCH("COP-45CDAAFD1B",CopilotChanges[Change ID],0)+10),"COP-45CDAAFD1B"),"COP-45CDAAFD1B")</x:f>
        <x:v>COP-45CDAAFD1B</x:v>
      </x:c>
    </x:row>
    <x:row r="250" ht="58" customHeight="1">
      <x:c r="A250" s="74" t="n">
        <x:f>INDEX(CopilotChanges[Date of change / report],MATCH($H250,CopilotChanges[Change ID],0))</x:f>
        <x:v>46204</x:v>
      </x:c>
      <x:c r="B250" s="19" t="str">
        <x:v>M365 Copilot app</x:v>
      </x:c>
      <x:c r="C250" s="19" t="str">
        <x:v>Employee self-service landing-page customization</x:v>
      </x:c>
      <x:c r="D250" s="19" t="str">
        <x:v>Organizations tailor the employee self-service agent landing experience.</x:v>
      </x:c>
      <x:c r="E250" s="22" t="str">
        <x:f>INDEX(CopilotChanges[Productivity impact],MATCH($H250,CopilotChanges[Change ID],0))</x:f>
        <x:v>Medium</x:v>
      </x:c>
      <x:c r="F250" s="19" t="str">
        <x:v>Surface relevant HR and IT starting points for employees.</x:v>
      </x:c>
      <x:c r="G250" s="19" t="str">
        <x:v>GA-listed; staged rollout; License unspecified; verify tenant entitlement; Web</x:v>
      </x:c>
      <x:c r="H250" s="68" t="str">
        <x:f>IFERROR(HYPERLINK("#'Change log'!A"&amp;(MATCH("COP-0DBE5EA9B2",CopilotChanges[Change ID],0)+10),"COP-0DBE5EA9B2"),"COP-0DBE5EA9B2")</x:f>
        <x:v>COP-0DBE5EA9B2</x:v>
      </x:c>
    </x:row>
    <x:row r="251" ht="58" customHeight="1">
      <x:c r="A251" s="74" t="n">
        <x:f>INDEX(CopilotChanges[Date of change / report],MATCH($H251,CopilotChanges[Change ID],0))</x:f>
        <x:v>46204</x:v>
      </x:c>
      <x:c r="B251" s="19" t="str">
        <x:v>M365 Copilot app</x:v>
      </x:c>
      <x:c r="C251" s="19" t="str">
        <x:v>Excel creation from notebooks</x:v>
      </x:c>
      <x:c r="D251" s="19" t="str">
        <x:v>Create a spreadsheet grounded in the material gathered in a notebook.</x:v>
      </x:c>
      <x:c r="E251" s="22" t="str">
        <x:f>INDEX(CopilotChanges[Productivity impact],MATCH($H251,CopilotChanges[Change ID],0))</x:f>
        <x:v>High</x:v>
      </x:c>
      <x:c r="F251" s="19" t="str">
        <x:v>Convert research findings into a structured comparison workbook.</x:v>
      </x:c>
      <x:c r="G251" s="19" t="str">
        <x:v>GA-listed; staged rollout; License unspecified; verify tenant entitlement; Windows, Web</x:v>
      </x:c>
      <x:c r="H251" s="68" t="str">
        <x:f>IFERROR(HYPERLINK("#'Change log'!A"&amp;(MATCH("COP-6B05BCCD10",CopilotChanges[Change ID],0)+10),"COP-6B05BCCD10"),"COP-6B05BCCD10")</x:f>
        <x:v>COP-6B05BCCD10</x:v>
      </x:c>
    </x:row>
    <x:row r="252" ht="58" customHeight="1">
      <x:c r="A252" s="74" t="n">
        <x:f>INDEX(CopilotChanges[Date of change / report],MATCH($H252,CopilotChanges[Change ID],0))</x:f>
        <x:v>46204</x:v>
      </x:c>
      <x:c r="B252" s="19" t="str">
        <x:v>M365 Copilot app</x:v>
      </x:c>
      <x:c r="C252" s="19" t="str">
        <x:v>Faster iOS Copilot launch</x:v>
      </x:c>
      <x:c r="D252" s="19" t="str">
        <x:v>Additional iOS entry points shorten access to the Copilot app.</x:v>
      </x:c>
      <x:c r="E252" s="22" t="str">
        <x:f>INDEX(CopilotChanges[Productivity impact],MATCH($H252,CopilotChanges[Change ID],0))</x:f>
        <x:v>Low</x:v>
      </x:c>
      <x:c r="F252" s="19" t="str">
        <x:v>Start a quick work question from a phone shortcut.</x:v>
      </x:c>
      <x:c r="G252" s="19" t="str">
        <x:v>GA-listed; staged rollout; License unspecified; verify tenant entitlement; iOS</x:v>
      </x:c>
      <x:c r="H252" s="68" t="str">
        <x:f>IFERROR(HYPERLINK("#'Change log'!A"&amp;(MATCH("COP-F716325270",CopilotChanges[Change ID],0)+10),"COP-F716325270"),"COP-F716325270")</x:f>
        <x:v>COP-F716325270</x:v>
      </x:c>
    </x:row>
    <x:row r="253" ht="58" customHeight="1">
      <x:c r="A253" s="74" t="n">
        <x:f>INDEX(CopilotChanges[Date of change / report],MATCH($H253,CopilotChanges[Change ID],0))</x:f>
        <x:v>46204</x:v>
      </x:c>
      <x:c r="B253" s="19" t="str">
        <x:v>M365 Copilot app</x:v>
      </x:c>
      <x:c r="C253" s="19" t="str">
        <x:v>Notebook mind maps</x:v>
      </x:c>
      <x:c r="D253" s="19" t="str">
        <x:v>Explore notebook topics and relationships through an interactive map.</x:v>
      </x:c>
      <x:c r="E253" s="22" t="str">
        <x:f>INDEX(CopilotChanges[Productivity impact],MATCH($H253,CopilotChanges[Change ID],0))</x:f>
        <x:v>Medium</x:v>
      </x:c>
      <x:c r="F253" s="19" t="str">
        <x:v>Find connections across research notes before writing a recommendation.</x:v>
      </x:c>
      <x:c r="G253" s="19" t="str">
        <x:v>GA-listed; staged rollout; License unspecified; verify tenant entitlement; Windows, Web</x:v>
      </x:c>
      <x:c r="H253" s="68" t="str">
        <x:f>IFERROR(HYPERLINK("#'Change log'!A"&amp;(MATCH("COP-38A12D7414",CopilotChanges[Change ID],0)+10),"COP-38A12D7414"),"COP-38A12D7414")</x:f>
        <x:v>COP-38A12D7414</x:v>
      </x:c>
    </x:row>
    <x:row r="254" ht="58" customHeight="1">
      <x:c r="A254" s="74" t="n">
        <x:f>INDEX(CopilotChanges[Date of change / report],MATCH($H254,CopilotChanges[Change ID],0))</x:f>
        <x:v>46204</x:v>
      </x:c>
      <x:c r="B254" s="19" t="str">
        <x:v>M365 Copilot app</x:v>
      </x:c>
      <x:c r="C254" s="19" t="str">
        <x:v>People search by department</x:v>
      </x:c>
      <x:c r="D254" s="19" t="str">
        <x:v>Copilot Search can use department information when finding people.</x:v>
      </x:c>
      <x:c r="E254" s="22" t="str">
        <x:f>INDEX(CopilotChanges[Productivity impact],MATCH($H254,CopilotChanges[Change ID],0))</x:f>
        <x:v>Low</x:v>
      </x:c>
      <x:c r="F254" s="19" t="str">
        <x:v>Find a colleague in procurement without knowing their name.</x:v>
      </x:c>
      <x:c r="G254" s="19" t="str">
        <x:v>GA-listed; staged rollout; License unspecified; verify tenant entitlement; Web</x:v>
      </x:c>
      <x:c r="H254" s="68" t="str">
        <x:f>IFERROR(HYPERLINK("#'Change log'!A"&amp;(MATCH("COP-1526FB4055",CopilotChanges[Change ID],0)+10),"COP-1526FB4055"),"COP-1526FB4055")</x:f>
        <x:v>COP-1526FB4055</x:v>
      </x:c>
    </x:row>
    <x:row r="255" ht="58" customHeight="1">
      <x:c r="A255" s="74" t="n">
        <x:f>INDEX(CopilotChanges[Date of change / report],MATCH($H255,CopilotChanges[Change ID],0))</x:f>
        <x:v>46204</x:v>
      </x:c>
      <x:c r="B255" s="19" t="str">
        <x:v>M365 Copilot app</x:v>
      </x:c>
      <x:c r="C255" s="19" t="str">
        <x:v>PowerPoint creation from notebooks</x:v>
      </x:c>
      <x:c r="D255" s="19" t="str">
        <x:v>Generate an editable presentation using a Copilot Notebook as context.</x:v>
      </x:c>
      <x:c r="E255" s="22" t="str">
        <x:f>INDEX(CopilotChanges[Productivity impact],MATCH($H255,CopilotChanges[Change ID],0))</x:f>
        <x:v>High</x:v>
      </x:c>
      <x:c r="F255" s="19" t="str">
        <x:v>Turn a project research notebook into a stakeholder briefing.</x:v>
      </x:c>
      <x:c r="G255" s="19" t="str">
        <x:v>GA-listed; staged rollout; License unspecified; verify tenant entitlement; Windows, Web</x:v>
      </x:c>
      <x:c r="H255" s="68" t="str">
        <x:f>IFERROR(HYPERLINK("#'Change log'!A"&amp;(MATCH("COP-985C4FBBAD",CopilotChanges[Change ID],0)+10),"COP-985C4FBBAD"),"COP-985C4FBBAD")</x:f>
        <x:v>COP-985C4FBBAD</x:v>
      </x:c>
    </x:row>
    <x:row r="256" ht="58" customHeight="1">
      <x:c r="A256" s="74" t="n">
        <x:f>INDEX(CopilotChanges[Date of change / report],MATCH($H256,CopilotChanges[Change ID],0))</x:f>
        <x:v>46204</x:v>
      </x:c>
      <x:c r="B256" s="19" t="str">
        <x:v>M365 Copilot app</x:v>
      </x:c>
      <x:c r="C256" s="19" t="str">
        <x:v>Scheduled agent prompts</x:v>
      </x:c>
      <x:c r="D256" s="19" t="str">
        <x:v>Schedule supported agents to execute prompts on a recurring basis.</x:v>
      </x:c>
      <x:c r="E256" s="22" t="str">
        <x:f>INDEX(CopilotChanges[Productivity impact],MATCH($H256,CopilotChanges[Change ID],0))</x:f>
        <x:v>High</x:v>
      </x:c>
      <x:c r="F256" s="19" t="str">
        <x:v>Prepare a recurring project briefing without manually restarting the prompt.</x:v>
      </x:c>
      <x:c r="G256" s="19" t="str">
        <x:v>GA-listed; staged rollout; License unspecified; verify tenant entitlement; Windows, Mac, Web</x:v>
      </x:c>
      <x:c r="H256" s="68" t="str">
        <x:f>IFERROR(HYPERLINK("#'Change log'!A"&amp;(MATCH("COP-DB3C1AFD94",CopilotChanges[Change ID],0)+10),"COP-DB3C1AFD94"),"COP-DB3C1AFD94")</x:f>
        <x:v>COP-DB3C1AFD94</x:v>
      </x:c>
    </x:row>
    <x:row r="257" ht="58" customHeight="1">
      <x:c r="A257" s="74" t="n">
        <x:f>INDEX(CopilotChanges[Date of change / report],MATCH($H257,CopilotChanges[Change ID],0))</x:f>
        <x:v>46204</x:v>
      </x:c>
      <x:c r="B257" s="19" t="str">
        <x:v>M365 Copilot app</x:v>
      </x:c>
      <x:c r="C257" s="19" t="str">
        <x:v>Sensitivity inheritance for generated files</x:v>
      </x:c>
      <x:c r="D257" s="19" t="str">
        <x:v>Generated files inherit relevant source sensitivity labels.</x:v>
      </x:c>
      <x:c r="E257" s="22" t="str">
        <x:f>INDEX(CopilotChanges[Productivity impact],MATCH($H257,CopilotChanges[Change ID],0))</x:f>
        <x:v>High</x:v>
      </x:c>
      <x:c r="F257" s="19" t="str">
        <x:v>Retain classification when turning confidential references into a new document.</x:v>
      </x:c>
      <x:c r="G257" s="19" t="str">
        <x:v>GA-listed; staged rollout; License unspecified; verify tenant entitlement; Android, Windows, iOS, Mac, Web</x:v>
      </x:c>
      <x:c r="H257" s="68" t="str">
        <x:f>IFERROR(HYPERLINK("#'Change log'!A"&amp;(MATCH("COP-B50375935F",CopilotChanges[Change ID],0)+10),"COP-B50375935F"),"COP-B50375935F")</x:f>
        <x:v>COP-B50375935F</x:v>
      </x:c>
    </x:row>
    <x:row r="258" ht="58" customHeight="1">
      <x:c r="A258" s="74" t="n">
        <x:f>INDEX(CopilotChanges[Date of change / report],MATCH($H258,CopilotChanges[Change ID],0))</x:f>
        <x:v>46204</x:v>
      </x:c>
      <x:c r="B258" s="19" t="str">
        <x:v>M365 Copilot app</x:v>
      </x:c>
      <x:c r="C258" s="19" t="str">
        <x:v>Word creation from notebooks</x:v>
      </x:c>
      <x:c r="D258" s="19" t="str">
        <x:v>Produce editable Word drafts from notebook references and discussion.</x:v>
      </x:c>
      <x:c r="E258" s="22" t="str">
        <x:f>INDEX(CopilotChanges[Productivity impact],MATCH($H258,CopilotChanges[Change ID],0))</x:f>
        <x:v>High</x:v>
      </x:c>
      <x:c r="F258" s="19" t="str">
        <x:v>Convert accumulated workshop notes into a client-ready report draft.</x:v>
      </x:c>
      <x:c r="G258" s="19" t="str">
        <x:v>GA-listed; staged rollout; License unspecified; verify tenant entitlement; Windows, Web</x:v>
      </x:c>
      <x:c r="H258" s="68" t="str">
        <x:f>IFERROR(HYPERLINK("#'Change log'!A"&amp;(MATCH("COP-D5B7806185",CopilotChanges[Change ID],0)+10),"COP-D5B7806185"),"COP-D5B7806185")</x:f>
        <x:v>COP-D5B7806185</x:v>
      </x:c>
    </x:row>
    <x:row r="259" ht="58" customHeight="1">
      <x:c r="A259" s="74" t="n">
        <x:f>INDEX(CopilotChanges[Date of change / report],MATCH($H259,CopilotChanges[Change ID],0))</x:f>
        <x:v>46204</x:v>
      </x:c>
      <x:c r="B259" s="19" t="str">
        <x:v>M365 Copilot Chat</x:v>
      </x:c>
      <x:c r="C259" s="19" t="str">
        <x:v>Brand kits for chat-generated visuals</x:v>
      </x:c>
      <x:c r="D259" s="19" t="str">
        <x:v>Apply chosen brand guidance and styles to visuals made in chat.</x:v>
      </x:c>
      <x:c r="E259" s="22" t="str">
        <x:f>INDEX(CopilotChanges[Productivity impact],MATCH($H259,CopilotChanges[Change ID],0))</x:f>
        <x:v>Medium</x:v>
      </x:c>
      <x:c r="F259" s="19" t="str">
        <x:v>Keep internally generated marketing assets visually consistent.</x:v>
      </x:c>
      <x:c r="G259" s="19" t="str">
        <x:v>GA-listed; staged rollout; License unspecified; verify tenant entitlement; Windows, Mac, Web</x:v>
      </x:c>
      <x:c r="H259" s="68" t="str">
        <x:f>IFERROR(HYPERLINK("#'Change log'!A"&amp;(MATCH("COP-CD04589C2B",CopilotChanges[Change ID],0)+10),"COP-CD04589C2B"),"COP-CD04589C2B")</x:f>
        <x:v>COP-CD04589C2B</x:v>
      </x:c>
    </x:row>
    <x:row r="260" ht="58" customHeight="1">
      <x:c r="A260" s="74" t="n">
        <x:f>INDEX(CopilotChanges[Date of change / report],MATCH($H260,CopilotChanges[Change ID],0))</x:f>
        <x:v>46204</x:v>
      </x:c>
      <x:c r="B260" s="19" t="str">
        <x:v>M365 Copilot Chat</x:v>
      </x:c>
      <x:c r="C260" s="19" t="str">
        <x:v>MAI-Image-2-Efficient in PowerPoint</x:v>
      </x:c>
      <x:c r="D260" s="19" t="str">
        <x:v>Add Microsoft’s efficient image model to presentation visual creation.</x:v>
      </x:c>
      <x:c r="E260" s="22" t="str">
        <x:f>INDEX(CopilotChanges[Productivity impact],MATCH($H260,CopilotChanges[Change ID],0))</x:f>
        <x:v>Medium</x:v>
      </x:c>
      <x:c r="F260" s="19" t="str">
        <x:v>Create or revise supporting visuals while preparing slides.</x:v>
      </x:c>
      <x:c r="G260" s="19" t="str">
        <x:v>GA-listed; staged rollout; License unspecified; verify tenant entitlement; Windows, Mac, Web</x:v>
      </x:c>
      <x:c r="H260" s="68" t="str">
        <x:f>IFERROR(HYPERLINK("#'Change log'!A"&amp;(MATCH("COP-7E01C85F60",CopilotChanges[Change ID],0)+10),"COP-7E01C85F60"),"COP-7E01C85F60")</x:f>
        <x:v>COP-7E01C85F60</x:v>
      </x:c>
    </x:row>
    <x:row r="261" ht="58" customHeight="1">
      <x:c r="A261" s="74" t="n">
        <x:f>INDEX(CopilotChanges[Date of change / report],MATCH($H261,CopilotChanges[Change ID],0))</x:f>
        <x:v>46204</x:v>
      </x:c>
      <x:c r="B261" s="19" t="str">
        <x:v>M365 Copilot Chat</x:v>
      </x:c>
      <x:c r="C261" s="19" t="str">
        <x:v>Office file viewing within Copilot Chat</x:v>
      </x:c>
      <x:c r="D261" s="19" t="str">
        <x:v>Open Word, Excel and PowerPoint files inside the chat experience alongside PDFs.</x:v>
      </x:c>
      <x:c r="E261" s="22" t="str">
        <x:f>INDEX(CopilotChanges[Productivity impact],MATCH($H261,CopilotChanges[Change ID],0))</x:f>
        <x:v>Medium</x:v>
      </x:c>
      <x:c r="F261" s="19" t="str">
        <x:v>Review source material without repeatedly switching windows.</x:v>
      </x:c>
      <x:c r="G261" s="19" t="str">
        <x:v>GA-listed; staged rollout; License unspecified; verify tenant entitlement; Windows, Mac, Web</x:v>
      </x:c>
      <x:c r="H261" s="68" t="str">
        <x:f>IFERROR(HYPERLINK("#'Change log'!A"&amp;(MATCH("COP-9961D23B87",CopilotChanges[Change ID],0)+10),"COP-9961D23B87"),"COP-9961D23B87")</x:f>
        <x:v>COP-9961D23B87</x:v>
      </x:c>
    </x:row>
    <x:row r="262" ht="58" customHeight="1">
      <x:c r="A262" s="74" t="n">
        <x:f>INDEX(CopilotChanges[Date of change / report],MATCH($H262,CopilotChanges[Change ID],0))</x:f>
        <x:v>46204</x:v>
      </x:c>
      <x:c r="B262" s="19" t="str">
        <x:v>M365 Copilot extensibility</x:v>
      </x:c>
      <x:c r="C262" s="19" t="str">
        <x:v>Change ServiceNow permission-reading settings</x:v>
      </x:c>
      <x:c r="D262" s="19" t="str">
        <x:v>Edit the permission-reading method on existing Knowledge and Catalog connections.</x:v>
      </x:c>
      <x:c r="E262" s="22" t="str">
        <x:f>INDEX(CopilotChanges[Productivity impact],MATCH($H262,CopilotChanges[Change ID],0))</x:f>
        <x:v>Medium</x:v>
      </x:c>
      <x:c r="F262" s="19" t="str">
        <x:v>Adjust connector access handling after an internal permissions redesign.</x:v>
      </x:c>
      <x:c r="G262" s="19" t="str">
        <x:v>GA-listed; staged rollout; License unspecified; verify tenant entitlement; Web</x:v>
      </x:c>
      <x:c r="H262" s="68" t="str">
        <x:f>IFERROR(HYPERLINK("#'Change log'!A"&amp;(MATCH("COP-6FA09B22DB",CopilotChanges[Change ID],0)+10),"COP-6FA09B22DB"),"COP-6FA09B22DB")</x:f>
        <x:v>COP-6FA09B22DB</x:v>
      </x:c>
    </x:row>
    <x:row r="263" ht="58" customHeight="1">
      <x:c r="A263" s="74" t="n">
        <x:f>INDEX(CopilotChanges[Date of change / report],MATCH($H263,CopilotChanges[Change ID],0))</x:f>
        <x:v>46204</x:v>
      </x:c>
      <x:c r="B263" s="19" t="str">
        <x:v>M365 SharePoint</x:v>
      </x:c>
      <x:c r="C263" s="19" t="str">
        <x:v>SharePoint metadata grounding</x:v>
      </x:c>
      <x:c r="D263" s="19" t="str">
        <x:v>Library- and folder-scoped questions can incorporate SharePoint column metadata.</x:v>
      </x:c>
      <x:c r="E263" s="22" t="str">
        <x:f>INDEX(CopilotChanges[Productivity impact],MATCH($H263,CopilotChanges[Change ID],0))</x:f>
        <x:v>High</x:v>
      </x:c>
      <x:c r="F263" s="19" t="str">
        <x:v>Find current approved policies using status and department columns.</x:v>
      </x:c>
      <x:c r="G263" s="19" t="str">
        <x:v>GA-listed; staged rollout; License unspecified; verify tenant entitlement; Web</x:v>
      </x:c>
      <x:c r="H263" s="68" t="str">
        <x:f>IFERROR(HYPERLINK("#'Change log'!A"&amp;(MATCH("COP-E7A10B6CC6",CopilotChanges[Change ID],0)+10),"COP-E7A10B6CC6"),"COP-E7A10B6CC6")</x:f>
        <x:v>COP-E7A10B6CC6</x:v>
      </x:c>
    </x:row>
    <x:row r="264" ht="58" customHeight="1">
      <x:c r="A264" s="74" t="n">
        <x:f>INDEX(CopilotChanges[Date of change / report],MATCH($H264,CopilotChanges[Change ID],0))</x:f>
        <x:v>46204</x:v>
      </x:c>
      <x:c r="B264" s="19" t="str">
        <x:v>OneNote</x:v>
      </x:c>
      <x:c r="C264" s="19" t="str">
        <x:v>Copilot Notebooks in OneNote iOS</x:v>
      </x:c>
      <x:c r="D264" s="19" t="str">
        <x:v>Access notebook AI workflows in OneNote on iPhone and iPad.</x:v>
      </x:c>
      <x:c r="E264" s="22" t="str">
        <x:f>INDEX(CopilotChanges[Productivity impact],MATCH($H264,CopilotChanges[Change ID],0))</x:f>
        <x:v>Medium</x:v>
      </x:c>
      <x:c r="F264" s="19" t="str">
        <x:v>Review project context and ask follow-up questions while away from a desk.</x:v>
      </x:c>
      <x:c r="G264" s="19" t="str">
        <x:v>GA-listed; staged rollout; License unspecified; verify tenant entitlement; iOS</x:v>
      </x:c>
      <x:c r="H264" s="68" t="str">
        <x:f>IFERROR(HYPERLINK("#'Change log'!A"&amp;(MATCH("COP-6DA78B8B48",CopilotChanges[Change ID],0)+10),"COP-6DA78B8B48"),"COP-6DA78B8B48")</x:f>
        <x:v>COP-6DA78B8B48</x:v>
      </x:c>
    </x:row>
    <x:row r="265" ht="58" customHeight="1">
      <x:c r="A265" s="74" t="n">
        <x:f>INDEX(CopilotChanges[Date of change / report],MATCH($H265,CopilotChanges[Change ID],0))</x:f>
        <x:v>46204</x:v>
      </x:c>
      <x:c r="B265" s="19" t="str">
        <x:v>OneNote</x:v>
      </x:c>
      <x:c r="C265" s="19" t="str">
        <x:v>Copilot Notebooks in OneNote web</x:v>
      </x:c>
      <x:c r="D265" s="19" t="str">
        <x:v>Access Copilot Notebooks from browser-based OneNote.</x:v>
      </x:c>
      <x:c r="E265" s="22" t="str">
        <x:f>INDEX(CopilotChanges[Productivity impact],MATCH($H265,CopilotChanges[Change ID],0))</x:f>
        <x:v>Medium</x:v>
      </x:c>
      <x:c r="F265" s="19" t="str">
        <x:v>Continue notebook-based work on a device without the desktop app.</x:v>
      </x:c>
      <x:c r="G265" s="19" t="str">
        <x:v>GA-listed; staged rollout; License unspecified; verify tenant entitlement; Web</x:v>
      </x:c>
      <x:c r="H265" s="68" t="str">
        <x:f>IFERROR(HYPERLINK("#'Change log'!A"&amp;(MATCH("COP-EFA035E06D",CopilotChanges[Change ID],0)+10),"COP-EFA035E06D"),"COP-EFA035E06D")</x:f>
        <x:v>COP-EFA035E06D</x:v>
      </x:c>
    </x:row>
    <x:row r="266" ht="58" customHeight="1">
      <x:c r="A266" s="74" t="n">
        <x:f>INDEX(CopilotChanges[Date of change / report],MATCH($H266,CopilotChanges[Change ID],0))</x:f>
        <x:v>46204</x:v>
      </x:c>
      <x:c r="B266" s="19" t="str">
        <x:v>OneNote</x:v>
      </x:c>
      <x:c r="C266" s="19" t="str">
        <x:v>Multimodal notebook capture on iPhone</x:v>
      </x:c>
      <x:c r="D266" s="19" t="str">
        <x:v>Combine spoken notes, photographs and typing into a structured notebook page.</x:v>
      </x:c>
      <x:c r="E266" s="22" t="str">
        <x:f>INDEX(CopilotChanges[Productivity impact],MATCH($H266,CopilotChanges[Change ID],0))</x:f>
        <x:v>High</x:v>
      </x:c>
      <x:c r="F266" s="19" t="str">
        <x:v>Capture a whiteboard workshop and consolidate its discussion and visuals.</x:v>
      </x:c>
      <x:c r="G266" s="19" t="str">
        <x:v>GA-listed; staged rollout; License unspecified; verify tenant entitlement; iOS</x:v>
      </x:c>
      <x:c r="H266" s="68" t="str">
        <x:f>IFERROR(HYPERLINK("#'Change log'!A"&amp;(MATCH("COP-E0AF11E931",CopilotChanges[Change ID],0)+10),"COP-E0AF11E931"),"COP-E0AF11E931")</x:f>
        <x:v>COP-E0AF11E931</x:v>
      </x:c>
    </x:row>
    <x:row r="267" ht="58" customHeight="1">
      <x:c r="A267" s="74" t="n">
        <x:f>INDEX(CopilotChanges[Date of change / report],MATCH($H267,CopilotChanges[Change ID],0))</x:f>
        <x:v>46204</x:v>
      </x:c>
      <x:c r="B267" s="19" t="str">
        <x:v>Outlook</x:v>
      </x:c>
      <x:c r="C267" s="19" t="str">
        <x:v>Broader Outlook Copilot grounding</x:v>
      </x:c>
      <x:c r="D267" s="19" t="str">
        <x:v>Copilot Chat in Outlook can reason across mailbox, calendar and enterprise context.</x:v>
      </x:c>
      <x:c r="E267" s="22" t="str">
        <x:f>INDEX(CopilotChanges[Productivity impact],MATCH($H267,CopilotChanges[Change ID],0))</x:f>
        <x:v>High</x:v>
      </x:c>
      <x:c r="F267" s="19" t="str">
        <x:v>Prepare a customer-meeting brief using correspondence and organizational knowledge.</x:v>
      </x:c>
      <x:c r="G267" s="19" t="str">
        <x:v>GA-listed; staged rollout; License unspecified; verify tenant entitlement; Android, Windows, iOS, Mac, Web</x:v>
      </x:c>
      <x:c r="H267" s="68" t="str">
        <x:f>IFERROR(HYPERLINK("#'Change log'!A"&amp;(MATCH("COP-A6A256B5C6",CopilotChanges[Change ID],0)+10),"COP-A6A256B5C6"),"COP-A6A256B5C6")</x:f>
        <x:v>COP-A6A256B5C6</x:v>
      </x:c>
    </x:row>
    <x:row r="268" ht="58" customHeight="1">
      <x:c r="A268" s="74" t="n">
        <x:f>INDEX(CopilotChanges[Date of change / report],MATCH($H268,CopilotChanges[Change ID],0))</x:f>
        <x:v>46204</x:v>
      </x:c>
      <x:c r="B268" s="19" t="str">
        <x:v>PowerPoint</x:v>
      </x:c>
      <x:c r="C268" s="19" t="str">
        <x:v>Reuse existing slide content and style</x:v>
      </x:c>
      <x:c r="D268" s="19" t="str">
        <x:v>Copilot can incorporate content and design cues from existing presentations.</x:v>
      </x:c>
      <x:c r="E268" s="22" t="str">
        <x:f>INDEX(CopilotChanges[Productivity impact],MATCH($H268,CopilotChanges[Change ID],0))</x:f>
        <x:v>High</x:v>
      </x:c>
      <x:c r="F268" s="19" t="str">
        <x:v>Refresh a quarterly business review without rebuilding its visual structure.</x:v>
      </x:c>
      <x:c r="G268" s="19" t="str">
        <x:v>GA-listed; staged rollout; License unspecified; verify tenant entitlement; Windows, Web, Mac</x:v>
      </x:c>
      <x:c r="H268" s="68" t="str">
        <x:f>IFERROR(HYPERLINK("#'Change log'!A"&amp;(MATCH("COP-F2A6949BB6",CopilotChanges[Change ID],0)+10),"COP-F2A6949BB6"),"COP-F2A6949BB6")</x:f>
        <x:v>COP-F2A6949BB6</x:v>
      </x:c>
    </x:row>
    <x:row r="269" ht="58" customHeight="1">
      <x:c r="A269" s="74" t="n">
        <x:f>INDEX(CopilotChanges[Date of change / report],MATCH($H269,CopilotChanges[Change ID],0))</x:f>
        <x:v>46204</x:v>
      </x:c>
      <x:c r="B269" s="19" t="str">
        <x:v>PowerPoint</x:v>
      </x:c>
      <x:c r="C269" s="19" t="str">
        <x:v>Teams references for PowerPoint creation</x:v>
      </x:c>
      <x:c r="D269" s="19" t="str">
        <x:v>Use a Teams meeting or chat as presentation source material.</x:v>
      </x:c>
      <x:c r="E269" s="22" t="str">
        <x:f>INDEX(CopilotChanges[Productivity impact],MATCH($H269,CopilotChanges[Change ID],0))</x:f>
        <x:v>High</x:v>
      </x:c>
      <x:c r="F269" s="19" t="str">
        <x:v>Turn a planning meeting into an executive decision deck.</x:v>
      </x:c>
      <x:c r="G269" s="19" t="str">
        <x:v>GA-listed; staged rollout; License unspecified; verify tenant entitlement; Windows, Web, Mac</x:v>
      </x:c>
      <x:c r="H269" s="68" t="str">
        <x:f>IFERROR(HYPERLINK("#'Change log'!A"&amp;(MATCH("COP-EE25485345",CopilotChanges[Change ID],0)+10),"COP-EE25485345"),"COP-EE25485345")</x:f>
        <x:v>COP-EE25485345</x:v>
      </x:c>
    </x:row>
    <x:row r="270" ht="58" customHeight="1">
      <x:c r="A270" s="74" t="n">
        <x:f>INDEX(CopilotChanges[Date of change / report],MATCH($H270,CopilotChanges[Change ID],0))</x:f>
        <x:v>46204</x:v>
      </x:c>
      <x:c r="B270" s="19" t="str">
        <x:v>PowerPoint</x:v>
      </x:c>
      <x:c r="C270" s="19" t="str">
        <x:v>Work IQ-grounded PowerPoint generation</x:v>
      </x:c>
      <x:c r="D270" s="19" t="str">
        <x:v>Agent Mode uses work context to build presentations.</x:v>
      </x:c>
      <x:c r="E270" s="22" t="str">
        <x:f>INDEX(CopilotChanges[Productivity impact],MATCH($H270,CopilotChanges[Change ID],0))</x:f>
        <x:v>High</x:v>
      </x:c>
      <x:c r="F270" s="19" t="str">
        <x:v>Create a project update from relevant organizational information.</x:v>
      </x:c>
      <x:c r="G270" s="19" t="str">
        <x:v>GA-listed; staged rollout; License unspecified; verify tenant entitlement; Windows</x:v>
      </x:c>
      <x:c r="H270" s="68" t="str">
        <x:f>IFERROR(HYPERLINK("#'Change log'!A"&amp;(MATCH("COP-3D7FD0BBE3",CopilotChanges[Change ID],0)+10),"COP-3D7FD0BBE3"),"COP-3D7FD0BBE3")</x:f>
        <x:v>COP-3D7FD0BBE3</x:v>
      </x:c>
    </x:row>
    <x:row r="271" ht="58" customHeight="1">
      <x:c r="A271" s="74" t="n">
        <x:f>INDEX(CopilotChanges[Date of change / report],MATCH($H271,CopilotChanges[Change ID],0))</x:f>
        <x:v>46204</x:v>
      </x:c>
      <x:c r="B271" s="19" t="str">
        <x:v>Viva Insights</x:v>
      </x:c>
      <x:c r="C271" s="19" t="str">
        <x:v>All licensed users in Copilot Dashboard</x:v>
      </x:c>
      <x:c r="D271" s="19" t="str">
        <x:v>A dashboard view brings the full licensed-user population into analysis.</x:v>
      </x:c>
      <x:c r="E271" s="22" t="str">
        <x:f>INDEX(CopilotChanges[Productivity impact],MATCH($H271,CopilotChanges[Change ID],0))</x:f>
        <x:v>Medium</x:v>
      </x:c>
      <x:c r="F271" s="19" t="str">
        <x:v>Identify licensed users whose adoption needs targeted support.</x:v>
      </x:c>
      <x:c r="G271" s="19" t="str">
        <x:v>GA-listed; staged rollout; License unspecified; verify tenant entitlement; Web</x:v>
      </x:c>
      <x:c r="H271" s="68" t="str">
        <x:f>IFERROR(HYPERLINK("#'Change log'!A"&amp;(MATCH("COP-56B09F4C32",CopilotChanges[Change ID],0)+10),"COP-56B09F4C32"),"COP-56B09F4C32")</x:f>
        <x:v>COP-56B09F4C32</x:v>
      </x:c>
    </x:row>
    <x:row r="272" ht="58" customHeight="1">
      <x:c r="A272" s="74" t="n">
        <x:f>INDEX(CopilotChanges[Date of change / report],MATCH($H272,CopilotChanges[Change ID],0))</x:f>
        <x:v>46204</x:v>
      </x:c>
      <x:c r="B272" s="19" t="str">
        <x:v>Word</x:v>
      </x:c>
      <x:c r="C272" s="19" t="str">
        <x:v>Conversational Word audio overviews</x:v>
      </x:c>
      <x:c r="D272" s="19" t="str">
        <x:v>Ask spoken questions while listening to a document audio overview.</x:v>
      </x:c>
      <x:c r="E272" s="22" t="str">
        <x:f>INDEX(CopilotChanges[Productivity impact],MATCH($H272,CopilotChanges[Change ID],0))</x:f>
        <x:v>Medium</x:v>
      </x:c>
      <x:c r="F272" s="19" t="str">
        <x:v>Clarify unfamiliar terminology while reviewing a report by audio.</x:v>
      </x:c>
      <x:c r="G272" s="19" t="str">
        <x:v>GA-listed; staged rollout; License unspecified; verify tenant entitlement; Web</x:v>
      </x:c>
      <x:c r="H272" s="68" t="str">
        <x:f>IFERROR(HYPERLINK("#'Change log'!A"&amp;(MATCH("COP-43DB6B7D6E",CopilotChanges[Change ID],0)+10),"COP-43DB6B7D6E"),"COP-43DB6B7D6E")</x:f>
        <x:v>COP-43DB6B7D6E</x:v>
      </x:c>
    </x:row>
    <x:row r="273" ht="58" customHeight="1">
      <x:c r="A273" s="74" t="n">
        <x:f>INDEX(CopilotChanges[Date of change / report],MATCH($H273,CopilotChanges[Change ID],0))</x:f>
        <x:v>46203</x:v>
      </x:c>
      <x:c r="B273" s="19" t="str">
        <x:v>Copilot Chat</x:v>
      </x:c>
      <x:c r="C273" s="19" t="str">
        <x:v>Deep file citations</x:v>
      </x:c>
      <x:c r="D273" s="19" t="str">
        <x:v>Citations can open the relevant part of a Word or PowerPoint source.</x:v>
      </x:c>
      <x:c r="E273" s="22" t="str">
        <x:f>INDEX(CopilotChanges[Productivity impact],MATCH($H273,CopilotChanges[Change ID],0))</x:f>
        <x:v>High</x:v>
      </x:c>
      <x:c r="F273" s="19" t="str">
        <x:v>Check the exact supporting passage behind a report summary.</x:v>
      </x:c>
      <x:c r="G273" s="19" t="str">
        <x:v>Reported rollout; License unspecified; verify tenant entitlement; Word and PowerPoint initially; other source types planned</x:v>
      </x:c>
      <x:c r="H273" s="68" t="str">
        <x:f>IFERROR(HYPERLINK("#'Change log'!A"&amp;(MATCH("COP-F5396EA4D8",CopilotChanges[Change ID],0)+10),"COP-F5396EA4D8"),"COP-F5396EA4D8")</x:f>
        <x:v>COP-F5396EA4D8</x:v>
      </x:c>
    </x:row>
    <x:row r="274" ht="58" customHeight="1">
      <x:c r="A274" s="74" t="n">
        <x:f>INDEX(CopilotChanges[Date of change / report],MATCH($H274,CopilotChanges[Change ID],0))</x:f>
        <x:v>46203</x:v>
      </x:c>
      <x:c r="B274" s="19" t="str">
        <x:v>Copilot Chat</x:v>
      </x:c>
      <x:c r="C274" s="19" t="str">
        <x:v>Regenerate or switch model</x:v>
      </x:c>
      <x:c r="D274" s="19" t="str">
        <x:v>Request another answer or change model without rebuilding the prompt.</x:v>
      </x:c>
      <x:c r="E274" s="22" t="str">
        <x:f>INDEX(CopilotChanges[Productivity impact],MATCH($H274,CopilotChanges[Change ID],0))</x:f>
        <x:v>Medium</x:v>
      </x:c>
      <x:c r="F274" s="19" t="str">
        <x:v>Compare a second approach to an analytical question.</x:v>
      </x:c>
      <x:c r="G274" s="19" t="str">
        <x:v>Reported rollout; License unspecified; verify tenant entitlement; Platform/region not specified</x:v>
      </x:c>
      <x:c r="H274" s="68" t="str">
        <x:f>IFERROR(HYPERLINK("#'Change log'!A"&amp;(MATCH("COP-76FE36E560",CopilotChanges[Change ID],0)+10),"COP-76FE36E560"),"COP-76FE36E560")</x:f>
        <x:v>COP-76FE36E560</x:v>
      </x:c>
    </x:row>
    <x:row r="275" ht="58" customHeight="1">
      <x:c r="A275" s="77" t="n">
        <x:f>INDEX(CopilotChanges[Date of change / report],MATCH($H275,CopilotChanges[Change ID],0))</x:f>
        <x:v>46203</x:v>
      </x:c>
      <x:c r="B275" s="19" t="str">
        <x:v>Copilot Chat</x:v>
      </x:c>
      <x:c r="C275" s="19" t="str">
        <x:v>Vision with screen or camera context</x:v>
      </x:c>
      <x:c r="D275" s="19" t="str">
        <x:v>Ask spoken questions grounded in shared visual context.</x:v>
      </x:c>
      <x:c r="E275" s="22" t="str">
        <x:f>INDEX(CopilotChanges[Productivity impact],MATCH($H275,CopilotChanges[Change ID],0))</x:f>
        <x:v>High</x:v>
      </x:c>
      <x:c r="F275" s="19" t="str">
        <x:v>Explain a visible dashboard or error message in context.</x:v>
      </x:c>
      <x:c r="G275" s="19" t="str">
        <x:v>Planned rollout; License unspecified; verify tenant entitlement; Platform/region not specified</x:v>
      </x:c>
      <x:c r="H275" s="68" t="str">
        <x:f>IFERROR(HYPERLINK("#'Change log'!A"&amp;(MATCH("COP-C9545BC848",CopilotChanges[Change ID],0)+10),"COP-C9545BC848"),"COP-C9545BC848")</x:f>
        <x:v>COP-C9545BC848</x:v>
      </x:c>
    </x:row>
    <x:row r="276" ht="58" customHeight="1">
      <x:c r="A276" s="74" t="n">
        <x:f>INDEX(CopilotChanges[Date of change / report],MATCH($H276,CopilotChanges[Change ID],0))</x:f>
        <x:v>46203</x:v>
      </x:c>
      <x:c r="B276" s="19" t="str">
        <x:v>Copilot Chat / Work IQ</x:v>
      </x:c>
      <x:c r="C276" s="19" t="str">
        <x:v>Dataverse grounding</x:v>
      </x:c>
      <x:c r="D276" s="19" t="str">
        <x:v>Query Dataverse business records through Copilot Chat.</x:v>
      </x:c>
      <x:c r="E276" s="22" t="str">
        <x:f>INDEX(CopilotChanges[Productivity impact],MATCH($H276,CopilotChanges[Change ID],0))</x:f>
        <x:v>High</x:v>
      </x:c>
      <x:c r="F276" s="19" t="str">
        <x:v>Ask for context about customer records without switching into the source app.</x:v>
      </x:c>
      <x:c r="G276" s="19" t="str">
        <x:v>Public preview; License unspecified; verify tenant entitlement; Platform/region not specified</x:v>
      </x:c>
      <x:c r="H276" s="68" t="str">
        <x:f>IFERROR(HYPERLINK("#'Change log'!A"&amp;(MATCH("COP-4747D1330B",CopilotChanges[Change ID],0)+10),"COP-4747D1330B"),"COP-4747D1330B")</x:f>
        <x:v>COP-4747D1330B</x:v>
      </x:c>
    </x:row>
    <x:row r="277" ht="58" customHeight="1">
      <x:c r="A277" s="74" t="n">
        <x:f>INDEX(CopilotChanges[Date of change / report],MATCH($H277,CopilotChanges[Change ID],0))</x:f>
        <x:v>46203</x:v>
      </x:c>
      <x:c r="B277" s="19" t="str">
        <x:v>Copilot Chat / Work IQ</x:v>
      </x:c>
      <x:c r="C277" s="19" t="str">
        <x:v>Power BI grounding</x:v>
      </x:c>
      <x:c r="D277" s="19" t="str">
        <x:v>Ask questions grounded in Power BI reports and semantic models.</x:v>
      </x:c>
      <x:c r="E277" s="22" t="str">
        <x:f>INDEX(CopilotChanges[Productivity impact],MATCH($H277,CopilotChanges[Change ID],0))</x:f>
        <x:v>High</x:v>
      </x:c>
      <x:c r="F277" s="19" t="str">
        <x:v>Investigate performance using existing BI definitions.</x:v>
      </x:c>
      <x:c r="G277" s="19" t="str">
        <x:v>Frontier preview; License unspecified; verify tenant entitlement; Platform/region not specified</x:v>
      </x:c>
      <x:c r="H277" s="68" t="str">
        <x:f>IFERROR(HYPERLINK("#'Change log'!A"&amp;(MATCH("COP-35A33711A0",CopilotChanges[Change ID],0)+10),"COP-35A33711A0"),"COP-35A33711A0")</x:f>
        <x:v>COP-35A33711A0</x:v>
      </x:c>
    </x:row>
    <x:row r="278" ht="58" customHeight="1">
      <x:c r="A278" s="74" t="n">
        <x:f>INDEX(CopilotChanges[Date of change / report],MATCH($H278,CopilotChanges[Change ID],0))</x:f>
        <x:v>46203</x:v>
      </x:c>
      <x:c r="B278" s="19" t="str">
        <x:v>Copilot Cowork</x:v>
      </x:c>
      <x:c r="C278" s="19" t="str">
        <x:v>Cowork branded presentation templates</x:v>
      </x:c>
      <x:c r="D278" s="19" t="str">
        <x:v>Use organizational PowerPoint templates during deck creation.</x:v>
      </x:c>
      <x:c r="E278" s="22" t="str">
        <x:f>INDEX(CopilotChanges[Productivity impact],MATCH($H278,CopilotChanges[Change ID],0))</x:f>
        <x:v>Medium</x:v>
      </x:c>
      <x:c r="F278" s="19" t="str">
        <x:v>Generate a briefing from the company’s approved slide template.</x:v>
      </x:c>
      <x:c r="G278" s="19" t="str">
        <x:v>Reported rollout; License unspecified; verify tenant entitlement; Organization asset library required</x:v>
      </x:c>
      <x:c r="H278" s="68" t="str">
        <x:f>IFERROR(HYPERLINK("#'Change log'!A"&amp;(MATCH("COP-C5DA449DC7",CopilotChanges[Change ID],0)+10),"COP-C5DA449DC7"),"COP-C5DA449DC7")</x:f>
        <x:v>COP-C5DA449DC7</x:v>
      </x:c>
    </x:row>
    <x:row r="279" ht="58" customHeight="1">
      <x:c r="A279" s="74" t="n">
        <x:f>INDEX(CopilotChanges[Date of change / report],MATCH($H279,CopilotChanges[Change ID],0))</x:f>
        <x:v>46203</x:v>
      </x:c>
      <x:c r="B279" s="19" t="str">
        <x:v>Copilot Cowork</x:v>
      </x:c>
      <x:c r="C279" s="19" t="str">
        <x:v>Cowork local Edge browser use</x:v>
      </x:c>
      <x:c r="D279" s="19" t="str">
        <x:v>Let Cowork operate through the local Edge browser.</x:v>
      </x:c>
      <x:c r="E279" s="22" t="str">
        <x:f>INDEX(CopilotChanges[Productivity impact],MATCH($H279,CopilotChanges[Change ID],0))</x:f>
        <x:v>High</x:v>
      </x:c>
      <x:c r="F279" s="19" t="str">
        <x:v>Complete an approved browser-based step in a business workflow.</x:v>
      </x:c>
      <x:c r="G279" s="19" t="str">
        <x:v>Frontier preview; License unspecified; verify tenant entitlement; Local Edge; enterprise browser policies apply</x:v>
      </x:c>
      <x:c r="H279" s="68" t="str">
        <x:f>IFERROR(HYPERLINK("#'Change log'!A"&amp;(MATCH("COP-AEB64D84B4",CopilotChanges[Change ID],0)+10),"COP-AEB64D84B4"),"COP-AEB64D84B4")</x:f>
        <x:v>COP-AEB64D84B4</x:v>
      </x:c>
    </x:row>
    <x:row r="280" ht="58" customHeight="1">
      <x:c r="A280" s="74" t="n">
        <x:f>INDEX(CopilotChanges[Date of change / report],MATCH($H280,CopilotChanges[Change ID],0))</x:f>
        <x:v>46203</x:v>
      </x:c>
      <x:c r="B280" s="19" t="str">
        <x:v>Copilot Cowork</x:v>
      </x:c>
      <x:c r="C280" s="19" t="str">
        <x:v>Cowork on mobile</x:v>
      </x:c>
      <x:c r="D280" s="19" t="str">
        <x:v>Start and continue Cowork tasks across iOS and Android.</x:v>
      </x:c>
      <x:c r="E280" s="22" t="str">
        <x:f>INDEX(CopilotChanges[Productivity impact],MATCH($H280,CopilotChanges[Change ID],0))</x:f>
        <x:v>Medium</x:v>
      </x:c>
      <x:c r="F280" s="19" t="str">
        <x:v>Review progress and continue a task from a mobile device.</x:v>
      </x:c>
      <x:c r="G280" s="19" t="str">
        <x:v>Reported rollout; License unspecified; verify tenant entitlement; iOS and Android</x:v>
      </x:c>
      <x:c r="H280" s="68" t="str">
        <x:f>IFERROR(HYPERLINK("#'Change log'!A"&amp;(MATCH("COP-FB8C2AD795",CopilotChanges[Change ID],0)+10),"COP-FB8C2AD795"),"COP-FB8C2AD795")</x:f>
        <x:v>COP-FB8C2AD795</x:v>
      </x:c>
    </x:row>
    <x:row r="281" ht="73" customHeight="1">
      <x:c r="A281" s="74" t="n">
        <x:f>INDEX(CopilotChanges[Date of change / report],MATCH($H281,CopilotChanges[Change ID],0))</x:f>
        <x:v>46203</x:v>
      </x:c>
      <x:c r="B281" s="19" t="str">
        <x:v>Copilot Cowork</x:v>
      </x:c>
      <x:c r="C281" s="19" t="str">
        <x:v>Cowork plugin expansion</x:v>
      </x:c>
      <x:c r="D281" s="19" t="str">
        <x:v>Add business-system plugins including Fabric and Dynamics 365.</x:v>
      </x:c>
      <x:c r="E281" s="22" t="str">
        <x:f>INDEX(CopilotChanges[Productivity impact],MATCH($H281,CopilotChanges[Change ID],0))</x:f>
        <x:v>High</x:v>
      </x:c>
      <x:c r="F281" s="19" t="str">
        <x:v>Combine CRM context and workplace files in a sales-preparation task.</x:v>
      </x:c>
      <x:c r="G281" s="19" t="str">
        <x:v>Reported rollout; License unspecified; verify tenant entitlement; Supported plugins vary; Databricks described separately as sideloading</x:v>
      </x:c>
      <x:c r="H281" s="68" t="str">
        <x:f>IFERROR(HYPERLINK("#'Change log'!A"&amp;(MATCH("COP-45510BD88E",CopilotChanges[Change ID],0)+10),"COP-45510BD88E"),"COP-45510BD88E")</x:f>
        <x:v>COP-45510BD88E</x:v>
      </x:c>
    </x:row>
    <x:row r="282" ht="73" customHeight="1">
      <x:c r="A282" s="74" t="n">
        <x:f>INDEX(CopilotChanges[Date of change / report],MATCH($H282,CopilotChanges[Change ID],0))</x:f>
        <x:v>46203</x:v>
      </x:c>
      <x:c r="B282" s="19" t="str">
        <x:v>Copilot Cowork</x:v>
      </x:c>
      <x:c r="C282" s="19" t="str">
        <x:v>Cowork Purview controls</x:v>
      </x:c>
      <x:c r="D282" s="19" t="str">
        <x:v>Extend labeling, auditing and compliance handling to Cowork interactions.</x:v>
      </x:c>
      <x:c r="E282" s="22" t="str">
        <x:f>INDEX(CopilotChanges[Productivity impact],MATCH($H282,CopilotChanges[Change ID],0))</x:f>
        <x:v>Medium</x:v>
      </x:c>
      <x:c r="F282" s="19" t="str">
        <x:v>Apply existing information-governance review to generated work products.</x:v>
      </x:c>
      <x:c r="G282" s="19" t="str">
        <x:v>Reported rollout; License unspecified; verify tenant entitlement; GA source specifies Data Lifecycle Management June 22; DLP separately coming soon</x:v>
      </x:c>
      <x:c r="H282" s="68" t="str">
        <x:f>IFERROR(HYPERLINK("#'Change log'!A"&amp;(MATCH("COP-9B0E3E513F",CopilotChanges[Change ID],0)+10),"COP-9B0E3E513F"),"COP-9B0E3E513F")</x:f>
        <x:v>COP-9B0E3E513F</x:v>
      </x:c>
    </x:row>
    <x:row r="283" ht="58" customHeight="1">
      <x:c r="A283" s="74" t="n">
        <x:f>INDEX(CopilotChanges[Date of change / report],MATCH($H283,CopilotChanges[Change ID],0))</x:f>
        <x:v>46203</x:v>
      </x:c>
      <x:c r="B283" s="19" t="str">
        <x:v>Copilot Cowork</x:v>
      </x:c>
      <x:c r="C283" s="19" t="str">
        <x:v>Cowork task notifications</x:v>
      </x:c>
      <x:c r="D283" s="19" t="str">
        <x:v>Receive push alerts for approvals, required input and completed tasks.</x:v>
      </x:c>
      <x:c r="E283" s="22" t="str">
        <x:f>INDEX(CopilotChanges[Productivity impact],MATCH($H283,CopilotChanges[Change ID],0))</x:f>
        <x:v>Medium</x:v>
      </x:c>
      <x:c r="F283" s="19" t="str">
        <x:v>Return to an analysis task when it needs a decision.</x:v>
      </x:c>
      <x:c r="G283" s="19" t="str">
        <x:v>Reported rollout; License unspecified; verify tenant entitlement; Push notification support</x:v>
      </x:c>
      <x:c r="H283" s="68" t="str">
        <x:f>IFERROR(HYPERLINK("#'Change log'!A"&amp;(MATCH("COP-61FD666558",CopilotChanges[Change ID],0)+10),"COP-61FD666558"),"COP-61FD666558")</x:f>
        <x:v>COP-61FD666558</x:v>
      </x:c>
    </x:row>
    <x:row r="284" ht="58" customHeight="1">
      <x:c r="A284" s="74" t="n">
        <x:f>INDEX(CopilotChanges[Date of change / report],MATCH($H284,CopilotChanges[Change ID],0))</x:f>
        <x:v>46203</x:v>
      </x:c>
      <x:c r="B284" s="19" t="str">
        <x:v>Copilot Cowork</x:v>
      </x:c>
      <x:c r="C284" s="19" t="str">
        <x:v>Cowork-generated visuals</x:v>
      </x:c>
      <x:c r="D284" s="19" t="str">
        <x:v>Create or revise visuals during delegated work.</x:v>
      </x:c>
      <x:c r="E284" s="22" t="str">
        <x:f>INDEX(CopilotChanges[Productivity impact],MATCH($H284,CopilotChanges[Change ID],0))</x:f>
        <x:v>Medium</x:v>
      </x:c>
      <x:c r="F284" s="19" t="str">
        <x:v>Produce illustrations alongside a report draft.</x:v>
      </x:c>
      <x:c r="G284" s="19" t="str">
        <x:v>Reported rollout; License unspecified; verify tenant entitlement; ChatGPT Images 2.0</x:v>
      </x:c>
      <x:c r="H284" s="68" t="str">
        <x:f>IFERROR(HYPERLINK("#'Change log'!A"&amp;(MATCH("COP-BB796D3000",CopilotChanges[Change ID],0)+10),"COP-BB796D3000"),"COP-BB796D3000")</x:f>
        <x:v>COP-BB796D3000</x:v>
      </x:c>
    </x:row>
    <x:row r="285" ht="58" customHeight="1">
      <x:c r="A285" s="74" t="n">
        <x:f>INDEX(CopilotChanges[Date of change / report],MATCH($H285,CopilotChanges[Change ID],0))</x:f>
        <x:v>46203</x:v>
      </x:c>
      <x:c r="B285" s="19" t="str">
        <x:v>Copilot Cowork</x:v>
      </x:c>
      <x:c r="C285" s="19" t="str">
        <x:v>Manage custom Cowork skills</x:v>
      </x:c>
      <x:c r="D285" s="19" t="str">
        <x:v>Create and revise reusable instructions in the Customize tab.</x:v>
      </x:c>
      <x:c r="E285" s="22" t="str">
        <x:f>INDEX(CopilotChanges[Productivity impact],MATCH($H285,CopilotChanges[Change ID],0))</x:f>
        <x:v>Medium</x:v>
      </x:c>
      <x:c r="F285" s="19" t="str">
        <x:v>Maintain a reusable preparation workflow for monthly customer reviews.</x:v>
      </x:c>
      <x:c r="G285" s="19" t="str">
        <x:v>Reported rollout; License unspecified; verify tenant entitlement; Cowork</x:v>
      </x:c>
      <x:c r="H285" s="68" t="str">
        <x:f>IFERROR(HYPERLINK("#'Change log'!A"&amp;(MATCH("COP-C7A8E8182D",CopilotChanges[Change ID],0)+10),"COP-C7A8E8182D"),"COP-C7A8E8182D")</x:f>
        <x:v>COP-C7A8E8182D</x:v>
      </x:c>
    </x:row>
    <x:row r="286" ht="58" customHeight="1">
      <x:c r="A286" s="74" t="n">
        <x:f>INDEX(CopilotChanges[Date of change / report],MATCH($H286,CopilotChanges[Change ID],0))</x:f>
        <x:v>46203</x:v>
      </x:c>
      <x:c r="B286" s="19" t="str">
        <x:v>Copilot Notebooks</x:v>
      </x:c>
      <x:c r="C286" s="19" t="str">
        <x:v>Access for Copilot Chat users</x:v>
      </x:c>
      <x:c r="D286" s="19" t="str">
        <x:v>Broaden notebook access beyond M365 Copilot licensed users.</x:v>
      </x:c>
      <x:c r="E286" s="22" t="str">
        <x:f>INDEX(CopilotChanges[Productivity impact],MATCH($H286,CopilotChanges[Change ID],0))</x:f>
        <x:v>High</x:v>
      </x:c>
      <x:c r="F286" s="19" t="str">
        <x:v>Include more colleagues in project-context and study workflows.</x:v>
      </x:c>
      <x:c r="G286" s="19" t="str">
        <x:v>Reported rollout; License unspecified; verify tenant entitlement; Platform/region not specified</x:v>
      </x:c>
      <x:c r="H286" s="68" t="str">
        <x:f>IFERROR(HYPERLINK("#'Change log'!A"&amp;(MATCH("COP-594BEF0CC6",CopilotChanges[Change ID],0)+10),"COP-594BEF0CC6"),"COP-594BEF0CC6")</x:f>
        <x:v>COP-594BEF0CC6</x:v>
      </x:c>
    </x:row>
    <x:row r="287" ht="58" customHeight="1">
      <x:c r="A287" s="77" t="n">
        <x:f>INDEX(CopilotChanges[Date of change / report],MATCH($H287,CopilotChanges[Change ID],0))</x:f>
        <x:v>46203</x:v>
      </x:c>
      <x:c r="B287" s="19" t="str">
        <x:v>Copilot Notebooks</x:v>
      </x:c>
      <x:c r="C287" s="19" t="str">
        <x:v>Outlook email references</x:v>
      </x:c>
      <x:c r="D287" s="19" t="str">
        <x:v>Add email messages as notebook grounding sources.</x:v>
      </x:c>
      <x:c r="E287" s="22" t="str">
        <x:f>INDEX(CopilotChanges[Productivity impact],MATCH($H287,CopilotChanges[Change ID],0))</x:f>
        <x:v>High</x:v>
      </x:c>
      <x:c r="F287" s="19" t="str">
        <x:v>Include stakeholder decisions captured by email in a project notebook.</x:v>
      </x:c>
      <x:c r="G287" s="19" t="str">
        <x:v>Planned rollout; License unspecified; verify tenant entitlement; Platform/region not specified</x:v>
      </x:c>
      <x:c r="H287" s="68" t="str">
        <x:f>IFERROR(HYPERLINK("#'Change log'!A"&amp;(MATCH("COP-6A5BEFBF9C",CopilotChanges[Change ID],0)+10),"COP-6A5BEFBF9C"),"COP-6A5BEFBF9C")</x:f>
        <x:v>COP-6A5BEFBF9C</x:v>
      </x:c>
    </x:row>
    <x:row r="288" ht="58" customHeight="1">
      <x:c r="A288" s="74" t="n">
        <x:f>INDEX(CopilotChanges[Date of change / report],MATCH($H288,CopilotChanges[Change ID],0))</x:f>
        <x:v>46203</x:v>
      </x:c>
      <x:c r="B288" s="19" t="str">
        <x:v>Copilot Pages</x:v>
      </x:c>
      <x:c r="C288" s="19" t="str">
        <x:v>Inline suggested edits</x:v>
      </x:c>
      <x:c r="D288" s="19" t="str">
        <x:v>Request page feedback and apply suggested improvements.</x:v>
      </x:c>
      <x:c r="E288" s="22" t="str">
        <x:f>INDEX(CopilotChanges[Productivity impact],MATCH($H288,CopilotChanges[Change ID],0))</x:f>
        <x:v>Medium</x:v>
      </x:c>
      <x:c r="F288" s="19" t="str">
        <x:v>Polish a project brief before distributing it.</x:v>
      </x:c>
      <x:c r="G288" s="19" t="str">
        <x:v>Reported rollout; License unspecified; verify tenant entitlement; Platform/region not specified</x:v>
      </x:c>
      <x:c r="H288" s="68" t="str">
        <x:f>IFERROR(HYPERLINK("#'Change log'!A"&amp;(MATCH("COP-905B582282",CopilotChanges[Change ID],0)+10),"COP-905B582282"),"COP-905B582282")</x:f>
        <x:v>COP-905B582282</x:v>
      </x:c>
    </x:row>
    <x:row r="289" ht="58" customHeight="1">
      <x:c r="A289" s="74" t="n">
        <x:f>INDEX(CopilotChanges[Date of change / report],MATCH($H289,CopilotChanges[Change ID],0))</x:f>
        <x:v>46203</x:v>
      </x:c>
      <x:c r="B289" s="19" t="str">
        <x:v>Excel</x:v>
      </x:c>
      <x:c r="C289" s="19" t="str">
        <x:v>Reusable analysis skills</x:v>
      </x:c>
      <x:c r="D289" s="19" t="str">
        <x:v>Package recurring Excel instructions as reusable skills.</x:v>
      </x:c>
      <x:c r="E289" s="22" t="str">
        <x:f>INDEX(CopilotChanges[Productivity impact],MATCH($H289,CopilotChanges[Change ID],0))</x:f>
        <x:v>High</x:v>
      </x:c>
      <x:c r="F289" s="19" t="str">
        <x:v>Standardize a recurring monthly variance-analysis workflow.</x:v>
      </x:c>
      <x:c r="G289" s="19" t="str">
        <x:v>Reported rollout; License unspecified; verify tenant entitlement; Platform/region not specified</x:v>
      </x:c>
      <x:c r="H289" s="68" t="str">
        <x:f>IFERROR(HYPERLINK("#'Change log'!A"&amp;(MATCH("COP-72D73834C6",CopilotChanges[Change ID],0)+10),"COP-72D73834C6"),"COP-72D73834C6")</x:f>
        <x:v>COP-72D73834C6</x:v>
      </x:c>
    </x:row>
    <x:row r="290" ht="58" customHeight="1">
      <x:c r="A290" s="74" t="n">
        <x:f>INDEX(CopilotChanges[Date of change / report],MATCH($H290,CopilotChanges[Change ID],0))</x:f>
        <x:v>46203</x:v>
      </x:c>
      <x:c r="B290" s="19" t="str">
        <x:v>Excel</x:v>
      </x:c>
      <x:c r="C290" s="19" t="str">
        <x:v>Standing personalization preferences</x:v>
      </x:c>
      <x:c r="D290" s="19" t="str">
        <x:v>Apply saved formatting and analysis preferences across workbooks.</x:v>
      </x:c>
      <x:c r="E290" s="22" t="str">
        <x:f>INDEX(CopilotChanges[Productivity impact],MATCH($H290,CopilotChanges[Change ID],0))</x:f>
        <x:v>Medium</x:v>
      </x:c>
      <x:c r="F290" s="19" t="str">
        <x:v>Use consistent report formatting and formula conventions.</x:v>
      </x:c>
      <x:c r="G290" s="19" t="str">
        <x:v>Reported rollout; License unspecified; verify tenant entitlement; Platform/region not specified</x:v>
      </x:c>
      <x:c r="H290" s="68" t="str">
        <x:f>IFERROR(HYPERLINK("#'Change log'!A"&amp;(MATCH("COP-8A1C49B72A",CopilotChanges[Change ID],0)+10),"COP-8A1C49B72A"),"COP-8A1C49B72A")</x:f>
        <x:v>COP-8A1C49B72A</x:v>
      </x:c>
    </x:row>
    <x:row r="291" ht="58" customHeight="1">
      <x:c r="A291" s="74" t="n">
        <x:f>INDEX(CopilotChanges[Date of change / report],MATCH($H291,CopilotChanges[Change ID],0))</x:f>
        <x:v>46203</x:v>
      </x:c>
      <x:c r="B291" s="19" t="str">
        <x:v>Excel</x:v>
      </x:c>
      <x:c r="C291" s="19" t="str">
        <x:v>Workbook-specific rules sheets</x:v>
      </x:c>
      <x:c r="D291" s="19" t="str">
        <x:v>Store file-specific guidance in a .Rules worksheet.</x:v>
      </x:c>
      <x:c r="E291" s="22" t="str">
        <x:f>INDEX(CopilotChanges[Productivity impact],MATCH($H291,CopilotChanges[Change ID],0))</x:f>
        <x:v>High</x:v>
      </x:c>
      <x:c r="F291" s="19" t="str">
        <x:v>Preserve team naming and formula conventions in a reporting template.</x:v>
      </x:c>
      <x:c r="G291" s="19" t="str">
        <x:v>Reported rollout; License unspecified; verify tenant entitlement; Platform/region not specified</x:v>
      </x:c>
      <x:c r="H291" s="68" t="str">
        <x:f>IFERROR(HYPERLINK("#'Change log'!A"&amp;(MATCH("COP-A01FE96590",CopilotChanges[Change ID],0)+10),"COP-A01FE96590"),"COP-A01FE96590")</x:f>
        <x:v>COP-A01FE96590</x:v>
      </x:c>
    </x:row>
    <x:row r="292" ht="58" customHeight="1">
      <x:c r="A292" s="74" t="n">
        <x:f>INDEX(CopilotChanges[Date of change / report],MATCH($H292,CopilotChanges[Change ID],0))</x:f>
        <x:v>46203</x:v>
      </x:c>
      <x:c r="B292" s="19" t="str">
        <x:v>M365 admin center</x:v>
      </x:c>
      <x:c r="C292" s="19" t="str">
        <x:v>Hybrid-device organizational messages</x:v>
      </x:c>
      <x:c r="D292" s="19" t="str">
        <x:v>Extend organizational messaging to hybrid-joined devices.</x:v>
      </x:c>
      <x:c r="E292" s="22" t="str">
        <x:f>INDEX(CopilotChanges[Productivity impact],MATCH($H292,CopilotChanges[Change ID],0))</x:f>
        <x:v>Medium</x:v>
      </x:c>
      <x:c r="F292" s="19" t="str">
        <x:v>Include hybrid-device staff in a Copilot adoption campaign.</x:v>
      </x:c>
      <x:c r="G292" s="19" t="str">
        <x:v>Reported rollout; License unspecified; verify tenant entitlement; Platform/region not specified</x:v>
      </x:c>
      <x:c r="H292" s="68" t="str">
        <x:f>IFERROR(HYPERLINK("#'Change log'!A"&amp;(MATCH("COP-6615A8BF56",CopilotChanges[Change ID],0)+10),"COP-6615A8BF56"),"COP-6615A8BF56")</x:f>
        <x:v>COP-6615A8BF56</x:v>
      </x:c>
    </x:row>
    <x:row r="293" ht="58" customHeight="1">
      <x:c r="A293" s="74" t="n">
        <x:f>INDEX(CopilotChanges[Date of change / report],MATCH($H293,CopilotChanges[Change ID],0))</x:f>
        <x:v>46203</x:v>
      </x:c>
      <x:c r="B293" s="19" t="str">
        <x:v>M365 admin center</x:v>
      </x:c>
      <x:c r="C293" s="19" t="str">
        <x:v>Vision administration control</x:v>
      </x:c>
      <x:c r="D293" s="19" t="str">
        <x:v>Provide an administrative control for visual screen/camera input.</x:v>
      </x:c>
      <x:c r="E293" s="22" t="str">
        <x:f>INDEX(CopilotChanges[Productivity impact],MATCH($H293,CopilotChanges[Change ID],0))</x:f>
        <x:v>Medium</x:v>
      </x:c>
      <x:c r="F293" s="19" t="str">
        <x:v>Review whether screen-sharing assistance fits internal data policies.</x:v>
      </x:c>
      <x:c r="G293" s="19" t="str">
        <x:v>Reported rollout; License unspecified; verify tenant entitlement; Platform/region not specified</x:v>
      </x:c>
      <x:c r="H293" s="68" t="str">
        <x:f>IFERROR(HYPERLINK("#'Change log'!A"&amp;(MATCH("COP-E35A02C547",CopilotChanges[Change ID],0)+10),"COP-E35A02C547"),"COP-E35A02C547")</x:f>
        <x:v>COP-E35A02C547</x:v>
      </x:c>
    </x:row>
    <x:row r="294" ht="58" customHeight="1">
      <x:c r="A294" s="74" t="n">
        <x:f>INDEX(CopilotChanges[Date of change / report],MATCH($H294,CopilotChanges[Change ID],0))</x:f>
        <x:v>46203</x:v>
      </x:c>
      <x:c r="B294" s="19" t="str">
        <x:v>Microsoft Purview</x:v>
      </x:c>
      <x:c r="C294" s="19" t="str">
        <x:v>Exclude external email from Copilot grounding</x:v>
      </x:c>
      <x:c r="D294" s="19" t="str">
        <x:v>DLP policy can prevent external messages from informing supported Copilot outputs.</x:v>
      </x:c>
      <x:c r="E294" s="22" t="str">
        <x:f>INDEX(CopilotChanges[Productivity impact],MATCH($H294,CopilotChanges[Change ID],0))</x:f>
        <x:v>Medium</x:v>
      </x:c>
      <x:c r="F294" s="19" t="str">
        <x:v>Keep external email out of selected internal-answer workflows.</x:v>
      </x:c>
      <x:c r="G294" s="19" t="str">
        <x:v>Public preview; License unspecified; verify tenant entitlement; Platform/region not specified</x:v>
      </x:c>
      <x:c r="H294" s="68" t="str">
        <x:f>IFERROR(HYPERLINK("#'Change log'!A"&amp;(MATCH("COP-93725BC759",CopilotChanges[Change ID],0)+10),"COP-93725BC759"),"COP-93725BC759")</x:f>
        <x:v>COP-93725BC759</x:v>
      </x:c>
    </x:row>
    <x:row r="295" ht="58" customHeight="1">
      <x:c r="A295" s="77" t="n">
        <x:f>INDEX(CopilotChanges[Date of change / report],MATCH($H295,CopilotChanges[Change ID],0))</x:f>
        <x:v>46203</x:v>
      </x:c>
      <x:c r="B295" s="19" t="str">
        <x:v>Outlook</x:v>
      </x:c>
      <x:c r="C295" s="19" t="str">
        <x:v>Copilot settings in classic Outlook</x:v>
      </x:c>
      <x:c r="D295" s="19" t="str">
        <x:v>Expose Copilot options directly in classic Outlook.</x:v>
      </x:c>
      <x:c r="E295" s="22" t="str">
        <x:f>INDEX(CopilotChanges[Productivity impact],MATCH($H295,CopilotChanges[Change ID],0))</x:f>
        <x:v>Low</x:v>
      </x:c>
      <x:c r="F295" s="19" t="str">
        <x:v>Locate applicable Copilot settings without leaving the email client.</x:v>
      </x:c>
      <x:c r="G295" s="19" t="str">
        <x:v>Planned rollout; License unspecified; verify tenant entitlement; Classic Outlook for Windows</x:v>
      </x:c>
      <x:c r="H295" s="68" t="str">
        <x:f>IFERROR(HYPERLINK("#'Change log'!A"&amp;(MATCH("COP-F6DC967817",CopilotChanges[Change ID],0)+10),"COP-F6DC967817"),"COP-F6DC967817")</x:f>
        <x:v>COP-F6DC967817</x:v>
      </x:c>
    </x:row>
    <x:row r="296" ht="58" customHeight="1">
      <x:c r="A296" s="74" t="n">
        <x:f>INDEX(CopilotChanges[Date of change / report],MATCH($H296,CopilotChanges[Change ID],0))</x:f>
        <x:v>46203</x:v>
      </x:c>
      <x:c r="B296" s="19" t="str">
        <x:v>Outlook</x:v>
      </x:c>
      <x:c r="C296" s="19" t="str">
        <x:v>Targeted compose-canvas revisions</x:v>
      </x:c>
      <x:c r="D296" s="19" t="str">
        <x:v>Revise selected email text for tone, length or structure in place.</x:v>
      </x:c>
      <x:c r="E296" s="22" t="str">
        <x:f>INDEX(CopilotChanges[Productivity impact],MATCH($H296,CopilotChanges[Change ID],0))</x:f>
        <x:v>High</x:v>
      </x:c>
      <x:c r="F296" s="19" t="str">
        <x:v>Shorten one paragraph of a client response without recreating the email.</x:v>
      </x:c>
      <x:c r="G296" s="19" t="str">
        <x:v>Reported rollout; License unspecified; verify tenant entitlement; Web</x:v>
      </x:c>
      <x:c r="H296" s="68" t="str">
        <x:f>IFERROR(HYPERLINK("#'Change log'!A"&amp;(MATCH("COP-7C19511204",CopilotChanges[Change ID],0)+10),"COP-7C19511204"),"COP-7C19511204")</x:f>
        <x:v>COP-7C19511204</x:v>
      </x:c>
    </x:row>
    <x:row r="297" ht="58" customHeight="1">
      <x:c r="A297" s="74" t="n">
        <x:f>INDEX(CopilotChanges[Date of change / report],MATCH($H297,CopilotChanges[Change ID],0))</x:f>
        <x:v>46203</x:v>
      </x:c>
      <x:c r="B297" s="19" t="str">
        <x:v>Planner Agent</x:v>
      </x:c>
      <x:c r="C297" s="19" t="str">
        <x:v>Task and plan management in Copilot</x:v>
      </x:c>
      <x:c r="D297" s="19" t="str">
        <x:v>Use natural language to inspect, create and update Planner work.</x:v>
      </x:c>
      <x:c r="E297" s="22" t="str">
        <x:f>INDEX(CopilotChanges[Productivity impact],MATCH($H297,CopilotChanges[Change ID],0))</x:f>
        <x:v>High</x:v>
      </x:c>
      <x:c r="F297" s="19" t="str">
        <x:v>Convert a project objective into a structured plan and tasks.</x:v>
      </x:c>
      <x:c r="G297" s="19" t="str">
        <x:v>Reported rollout; License unspecified; verify tenant entitlement; Platform/region not specified</x:v>
      </x:c>
      <x:c r="H297" s="68" t="str">
        <x:f>IFERROR(HYPERLINK("#'Change log'!A"&amp;(MATCH("COP-50CA463826",CopilotChanges[Change ID],0)+10),"COP-50CA463826"),"COP-50CA463826")</x:f>
        <x:v>COP-50CA463826</x:v>
      </x:c>
    </x:row>
    <x:row r="298" ht="58" customHeight="1">
      <x:c r="A298" s="74" t="n">
        <x:f>INDEX(CopilotChanges[Date of change / report],MATCH($H298,CopilotChanges[Change ID],0))</x:f>
        <x:v>46203</x:v>
      </x:c>
      <x:c r="B298" s="19" t="str">
        <x:v>PowerPoint</x:v>
      </x:c>
      <x:c r="C298" s="19" t="str">
        <x:v>Brand-kit picker</x:v>
      </x:c>
      <x:c r="D298" s="19" t="str">
        <x:v>Select an organization-approved visual kit during deck creation.</x:v>
      </x:c>
      <x:c r="E298" s="22" t="str">
        <x:f>INDEX(CopilotChanges[Productivity impact],MATCH($H298,CopilotChanges[Change ID],0))</x:f>
        <x:v>Medium</x:v>
      </x:c>
      <x:c r="F298" s="19" t="str">
        <x:v>Start a client presentation using the approved corporate kit.</x:v>
      </x:c>
      <x:c r="G298" s="19" t="str">
        <x:v>Reported rollout; License unspecified; verify tenant entitlement; Platform/region not specified</x:v>
      </x:c>
      <x:c r="H298" s="68" t="str">
        <x:f>IFERROR(HYPERLINK("#'Change log'!A"&amp;(MATCH("COP-3E1FFA64AB",CopilotChanges[Change ID],0)+10),"COP-3E1FFA64AB"),"COP-3E1FFA64AB")</x:f>
        <x:v>COP-3E1FFA64AB</x:v>
      </x:c>
    </x:row>
    <x:row r="299" ht="58" customHeight="1">
      <x:c r="A299" s="74" t="n">
        <x:f>INDEX(CopilotChanges[Date of change / report],MATCH($H299,CopilotChanges[Change ID],0))</x:f>
        <x:v>46203</x:v>
      </x:c>
      <x:c r="B299" s="19" t="str">
        <x:v>PowerPoint</x:v>
      </x:c>
      <x:c r="C299" s="19" t="str">
        <x:v>Library and folder source references</x:v>
      </x:c>
      <x:c r="D299" s="19" t="str">
        <x:v>Ground deck creation in SharePoint libraries and OneDrive folders.</x:v>
      </x:c>
      <x:c r="E299" s="22" t="str">
        <x:f>INDEX(CopilotChanges[Productivity impact],MATCH($H299,CopilotChanges[Change ID],0))</x:f>
        <x:v>High</x:v>
      </x:c>
      <x:c r="F299" s="19" t="str">
        <x:v>Build a project presentation from the team’s stored materials.</x:v>
      </x:c>
      <x:c r="G299" s="19" t="str">
        <x:v>Reported rollout; License unspecified; verify tenant entitlement; Platform/region not specified</x:v>
      </x:c>
      <x:c r="H299" s="68" t="str">
        <x:f>IFERROR(HYPERLINK("#'Change log'!A"&amp;(MATCH("COP-B6B2C2C721",CopilotChanges[Change ID],0)+10),"COP-B6B2C2C721"),"COP-B6B2C2C721")</x:f>
        <x:v>COP-B6B2C2C721</x:v>
      </x:c>
    </x:row>
    <x:row r="300" ht="58" customHeight="1">
      <x:c r="A300" s="74" t="n">
        <x:f>INDEX(CopilotChanges[Date of change / report],MATCH($H300,CopilotChanges[Change ID],0))</x:f>
        <x:v>46203</x:v>
      </x:c>
      <x:c r="B300" s="19" t="str">
        <x:v>PowerPoint</x:v>
      </x:c>
      <x:c r="C300" s="19" t="str">
        <x:v>Reusable custom presentation skills</x:v>
      </x:c>
      <x:c r="D300" s="19" t="str">
        <x:v>Save instructions for recurring presentation work.</x:v>
      </x:c>
      <x:c r="E300" s="22" t="str">
        <x:f>INDEX(CopilotChanges[Productivity impact],MATCH($H300,CopilotChanges[Change ID],0))</x:f>
        <x:v>High</x:v>
      </x:c>
      <x:c r="F300" s="19" t="str">
        <x:v>Reuse the same briefing-creation workflow each month.</x:v>
      </x:c>
      <x:c r="G300" s="19" t="str">
        <x:v>Reported July rollout; License unspecified; verify tenant entitlement; Platform not specified</x:v>
      </x:c>
      <x:c r="H300" s="68" t="str">
        <x:f>IFERROR(HYPERLINK("#'Change log'!A"&amp;(MATCH("COP-2B185C8F69",CopilotChanges[Change ID],0)+10),"COP-2B185C8F69"),"COP-2B185C8F69")</x:f>
        <x:v>COP-2B185C8F69</x:v>
      </x:c>
    </x:row>
    <x:row r="301" ht="58" customHeight="1">
      <x:c r="A301" s="74" t="n">
        <x:f>INDEX(CopilotChanges[Date of change / report],MATCH($H301,CopilotChanges[Change ID],0))</x:f>
        <x:v>46203</x:v>
      </x:c>
      <x:c r="B301" s="19" t="str">
        <x:v>Researcher</x:v>
      </x:c>
      <x:c r="C301" s="19" t="str">
        <x:v>Choose model and mode inside chat</x:v>
      </x:c>
      <x:c r="D301" s="19" t="str">
        <x:v>Select supported Researcher options when using the agent in a conversation.</x:v>
      </x:c>
      <x:c r="E301" s="22" t="str">
        <x:f>INDEX(CopilotChanges[Productivity impact],MATCH($H301,CopilotChanges[Change ID],0))</x:f>
        <x:v>Medium</x:v>
      </x:c>
      <x:c r="F301" s="19" t="str">
        <x:v>Choose an appropriate mode for a complex comparative briefing.</x:v>
      </x:c>
      <x:c r="G301" s="19" t="str">
        <x:v>Reported rollout; License unspecified; verify tenant entitlement; Platform/region not specified</x:v>
      </x:c>
      <x:c r="H301" s="68" t="str">
        <x:f>IFERROR(HYPERLINK("#'Change log'!A"&amp;(MATCH("COP-2BCC3154DA",CopilotChanges[Change ID],0)+10),"COP-2BCC3154DA"),"COP-2BCC3154DA")</x:f>
        <x:v>COP-2BCC3154DA</x:v>
      </x:c>
    </x:row>
    <x:row r="302" ht="58" customHeight="1">
      <x:c r="A302" s="74" t="n">
        <x:f>INDEX(CopilotChanges[Date of change / report],MATCH($H302,CopilotChanges[Change ID],0))</x:f>
        <x:v>46203</x:v>
      </x:c>
      <x:c r="B302" s="19" t="str">
        <x:v>Word</x:v>
      </x:c>
      <x:c r="C302" s="19" t="str">
        <x:v>Agentic editing on iOS</x:v>
      </x:c>
      <x:c r="D302" s="19" t="str">
        <x:v>Bring direct content-editing assistance to iPhone and iPad.</x:v>
      </x:c>
      <x:c r="E302" s="22" t="str">
        <x:f>INDEX(CopilotChanges[Productivity impact],MATCH($H302,CopilotChanges[Change ID],0))</x:f>
        <x:v>High</x:v>
      </x:c>
      <x:c r="F302" s="19" t="str">
        <x:v>Revise a document section while travelling.</x:v>
      </x:c>
      <x:c r="G302" s="19" t="str">
        <x:v>Reported rollout; License unspecified; verify tenant entitlement; iOS</x:v>
      </x:c>
      <x:c r="H302" s="68" t="str">
        <x:f>IFERROR(HYPERLINK("#'Change log'!A"&amp;(MATCH("COP-E1F859A957",CopilotChanges[Change ID],0)+10),"COP-E1F859A957"),"COP-E1F859A957")</x:f>
        <x:v>COP-E1F859A957</x:v>
      </x:c>
    </x:row>
    <x:row r="303" ht="58" customHeight="1">
      <x:c r="A303" s="74" t="n">
        <x:f>INDEX(CopilotChanges[Date of change / report],MATCH($H303,CopilotChanges[Change ID],0))</x:f>
        <x:v>46203</x:v>
      </x:c>
      <x:c r="B303" s="19" t="str">
        <x:v>Word</x:v>
      </x:c>
      <x:c r="C303" s="19" t="str">
        <x:v>Apply feedback from document comments</x:v>
      </x:c>
      <x:c r="D303" s="19" t="str">
        <x:v>Use comment content to guide edits.</x:v>
      </x:c>
      <x:c r="E303" s="22" t="str">
        <x:f>INDEX(CopilotChanges[Productivity impact],MATCH($H303,CopilotChanges[Change ID],0))</x:f>
        <x:v>High</x:v>
      </x:c>
      <x:c r="F303" s="19" t="str">
        <x:v>Ask Copilot to implement approved reviewer suggestions.</x:v>
      </x:c>
      <x:c r="G303" s="19" t="str">
        <x:v>Reported rollout; License unspecified; verify tenant entitlement; Platform/region not specified</x:v>
      </x:c>
      <x:c r="H303" s="68" t="str">
        <x:f>IFERROR(HYPERLINK("#'Change log'!A"&amp;(MATCH("COP-FC755A804E",CopilotChanges[Change ID],0)+10),"COP-FC755A804E"),"COP-FC755A804E")</x:f>
        <x:v>COP-FC755A804E</x:v>
      </x:c>
    </x:row>
    <x:row r="304" ht="58" customHeight="1">
      <x:c r="A304" s="74" t="n">
        <x:f>INDEX(CopilotChanges[Date of change / report],MATCH($H304,CopilotChanges[Change ID],0))</x:f>
        <x:v>46203</x:v>
      </x:c>
      <x:c r="B304" s="19" t="str">
        <x:v>Word</x:v>
      </x:c>
      <x:c r="C304" s="19" t="str">
        <x:v>Catchup content card</x:v>
      </x:c>
      <x:c r="D304" s="19" t="str">
        <x:v>Show a recap of document changes since the user last opened it.</x:v>
      </x:c>
      <x:c r="E304" s="22" t="str">
        <x:f>INDEX(CopilotChanges[Productivity impact],MATCH($H304,CopilotChanges[Change ID],0))</x:f>
        <x:v>Medium</x:v>
      </x:c>
      <x:c r="F304" s="19" t="str">
        <x:v>See what changed before approving the latest document draft.</x:v>
      </x:c>
      <x:c r="G304" s="19" t="str">
        <x:v>Reported rollout; License unspecified; verify tenant entitlement; Platform/region not specified</x:v>
      </x:c>
      <x:c r="H304" s="68" t="str">
        <x:f>IFERROR(HYPERLINK("#'Change log'!A"&amp;(MATCH("COP-C5D1CA92B4",CopilotChanges[Change ID],0)+10),"COP-C5D1CA92B4"),"COP-C5D1CA92B4")</x:f>
        <x:v>COP-C5D1CA92B4</x:v>
      </x:c>
    </x:row>
    <x:row r="305" ht="58" customHeight="1">
      <x:c r="A305" s="74" t="n">
        <x:f>INDEX(CopilotChanges[Date of change / report],MATCH($H305,CopilotChanges[Change ID],0))</x:f>
        <x:v>46203</x:v>
      </x:c>
      <x:c r="B305" s="19" t="str">
        <x:v>Word</x:v>
      </x:c>
      <x:c r="C305" s="19" t="str">
        <x:v>Generate and insert inline images</x:v>
      </x:c>
      <x:c r="D305" s="19" t="str">
        <x:v>Create and place an image as part of document editing.</x:v>
      </x:c>
      <x:c r="E305" s="22" t="str">
        <x:f>INDEX(CopilotChanges[Productivity impact],MATCH($H305,CopilotChanges[Change ID],0))</x:f>
        <x:v>Medium</x:v>
      </x:c>
      <x:c r="F305" s="19" t="str">
        <x:v>Add a first-draft conceptual illustration to a training handout.</x:v>
      </x:c>
      <x:c r="G305" s="19" t="str">
        <x:v>Reported rollout; License unspecified; verify tenant entitlement; Platform/region not specified</x:v>
      </x:c>
      <x:c r="H305" s="68" t="str">
        <x:f>IFERROR(HYPERLINK("#'Change log'!A"&amp;(MATCH("COP-B1462FDA3E",CopilotChanges[Change ID],0)+10),"COP-B1462FDA3E"),"COP-B1462FDA3E")</x:f>
        <x:v>COP-B1462FDA3E</x:v>
      </x:c>
    </x:row>
    <x:row r="306" ht="58" customHeight="1">
      <x:c r="A306" s="74" t="n">
        <x:f>INDEX(CopilotChanges[Date of change / report],MATCH($H306,CopilotChanges[Change ID],0))</x:f>
        <x:v>46203</x:v>
      </x:c>
      <x:c r="B306" s="19" t="str">
        <x:v>Word</x:v>
      </x:c>
      <x:c r="C306" s="19" t="str">
        <x:v>Preserve chat-to-app conversation history</x:v>
      </x:c>
      <x:c r="D306" s="19" t="str">
        <x:v>Continue a Copilot conversation when working in Word.</x:v>
      </x:c>
      <x:c r="E306" s="22" t="str">
        <x:f>INDEX(CopilotChanges[Productivity impact],MATCH($H306,CopilotChanges[Change ID],0))</x:f>
        <x:v>Medium</x:v>
      </x:c>
      <x:c r="F306" s="19" t="str">
        <x:v>Continue from research chat into document editing.</x:v>
      </x:c>
      <x:c r="G306" s="19" t="str">
        <x:v>Reported rollout; License unspecified; verify tenant entitlement; Platform/region not specified</x:v>
      </x:c>
      <x:c r="H306" s="68" t="str">
        <x:f>IFERROR(HYPERLINK("#'Change log'!A"&amp;(MATCH("COP-C4FA32E1AF",CopilotChanges[Change ID],0)+10),"COP-C4FA32E1AF"),"COP-C4FA32E1AF")</x:f>
        <x:v>COP-C4FA32E1AF</x:v>
      </x:c>
    </x:row>
    <x:row r="307" ht="58" customHeight="1">
      <x:c r="A307" s="71" t="n">
        <x:f>INDEX(CopilotChanges[Date of change / report],MATCH($H307,CopilotChanges[Change ID],0))</x:f>
        <x:v>46189</x:v>
      </x:c>
      <x:c r="B307" s="19" t="str">
        <x:v>Copilot Cowork</x:v>
      </x:c>
      <x:c r="C307" s="19" t="str">
        <x:v>Copilot Cowork generally available</x:v>
      </x:c>
      <x:c r="D307" s="19" t="str">
        <x:v>Delegate long-running tasks that execute across tools and return work products.</x:v>
      </x:c>
      <x:c r="E307" s="22" t="str">
        <x:f>INDEX(CopilotChanges[Productivity impact],MATCH($H307,CopilotChanges[Change ID],0))</x:f>
        <x:v>High</x:v>
      </x:c>
      <x:c r="F307" s="19" t="str">
        <x:v>Prepare a research brief and supporting deliverables from approved business sources.</x:v>
      </x:c>
      <x:c r="G307" s="19" t="str">
        <x:v>GA; M365 Copilot USL plus usage-based Copilot Credits; Worldwide; administrators enable access; off by default at GA</x:v>
      </x:c>
      <x:c r="H307" s="68" t="str">
        <x:f>IFERROR(HYPERLINK("#'Change log'!A"&amp;(MATCH("COP-935968FF8F",CopilotChanges[Change ID],0)+10),"COP-935968FF8F"),"COP-935968FF8F")</x:f>
        <x:v>COP-935968FF8F</x:v>
      </x:c>
    </x:row>
    <x:row r="308" ht="58" customHeight="1">
      <x:c r="A308" s="71" t="n">
        <x:f>INDEX(CopilotChanges[Date of change / report],MATCH($H308,CopilotChanges[Change ID],0))</x:f>
        <x:v>46189</x:v>
      </x:c>
      <x:c r="B308" s="19" t="str">
        <x:v>Copilot Cowork / admin center</x:v>
      </x:c>
      <x:c r="C308" s="19" t="str">
        <x:v>Cowork spend controls and visibility</x:v>
      </x:c>
      <x:c r="D308" s="19" t="str">
        <x:v>Provide scoped budgets, usage alerts, credit requests and task-cost visibility.</x:v>
      </x:c>
      <x:c r="E308" s="22" t="str">
        <x:f>INDEX(CopilotChanges[Productivity impact],MATCH($H308,CopilotChanges[Change ID],0))</x:f>
        <x:v>Medium</x:v>
      </x:c>
      <x:c r="F308" s="19" t="str">
        <x:v>Cap a pilot group’s spend and inspect task-level costs.</x:v>
      </x:c>
      <x:c r="G308" s="19" t="str">
        <x:v>GA; Copilot Cowork entitlement and billing configuration; Tenant/group/user controls described in launch announcement</x:v>
      </x:c>
      <x:c r="H308" s="68" t="str">
        <x:f>IFERROR(HYPERLINK("#'Change log'!A"&amp;(MATCH("COP-463AA15453",CopilotChanges[Change ID],0)+10),"COP-463AA15453"),"COP-463AA15453")</x:f>
        <x:v>COP-463AA15453</x:v>
      </x:c>
    </x:row>
    <x:row r="309" ht="73" customHeight="1">
      <x:c r="A309" s="74" t="n">
        <x:f>INDEX(CopilotChanges[Date of change / report],MATCH($H309,CopilotChanges[Change ID],0))</x:f>
        <x:v>46189</x:v>
      </x:c>
      <x:c r="B309" s="19" t="str">
        <x:v>Copilot Cowork / billing</x:v>
      </x:c>
      <x:c r="C309" s="19" t="str">
        <x:v>Usage billing and Frontier grace period</x:v>
      </x:c>
      <x:c r="D309" s="19" t="str">
        <x:v>Cowork starts metered billing, with a temporary exception for qualifying preview tenants.</x:v>
      </x:c>
      <x:c r="E309" s="22" t="str">
        <x:f>INDEX(CopilotChanges[Productivity impact],MATCH($H309,CopilotChanges[Change ID],0))</x:f>
        <x:v>Medium</x:v>
      </x:c>
      <x:c r="F309" s="19" t="str">
        <x:v>Budget a Cowork pilot and set limits before scaling usage.</x:v>
      </x:c>
      <x:c r="G309" s="19" t="str">
        <x:v>Billing transition; M365 Copilot USL plus credits; launch PayGo rate $0.01/Copilot Credit; Qualifying tenant had a Frontier user who used Cowork March 30–June 16</x:v>
      </x:c>
      <x:c r="H309" s="68" t="str">
        <x:f>IFERROR(HYPERLINK("#'Change log'!A"&amp;(MATCH("COP-AC01C47847",CopilotChanges[Change ID],0)+10),"COP-AC01C47847"),"COP-AC01C47847")</x:f>
        <x:v>COP-AC01C47847</x:v>
      </x:c>
    </x:row>
    <x:row r="310" ht="58" customHeight="1">
      <x:c r="A310" s="74" t="n">
        <x:f>INDEX(CopilotChanges[Date of change / report],MATCH($H310,CopilotChanges[Change ID],0))</x:f>
        <x:v>46189</x:v>
      </x:c>
      <x:c r="B310" s="19" t="str">
        <x:v>M365 Copilot Chat</x:v>
      </x:c>
      <x:c r="C310" s="19" t="str">
        <x:v>Claude selection in Copilot Chat</x:v>
      </x:c>
      <x:c r="D310" s="19" t="str">
        <x:v>Choose an Anthropic model for chat analysis and content work.</x:v>
      </x:c>
      <x:c r="E310" s="22" t="str">
        <x:f>INDEX(CopilotChanges[Productivity impact],MATCH($H310,CopilotChanges[Change ID],0))</x:f>
        <x:v>High</x:v>
      </x:c>
      <x:c r="F310" s="19" t="str">
        <x:v>Compare model approaches to a complex document synthesis task.</x:v>
      </x:c>
      <x:c r="G310" s="19" t="str">
        <x:v>GA-listed; staged rollout; License unspecified; verify tenant entitlement; Android, Windows, iOS, Mac, Web</x:v>
      </x:c>
      <x:c r="H310" s="68" t="str">
        <x:f>IFERROR(HYPERLINK("#'Change log'!A"&amp;(MATCH("COP-3F4D93586F",CopilotChanges[Change ID],0)+10),"COP-3F4D93586F"),"COP-3F4D93586F")</x:f>
        <x:v>COP-3F4D93586F</x:v>
      </x:c>
    </x:row>
    <x:row r="311" ht="58" customHeight="1">
      <x:c r="A311" s="74" t="n">
        <x:f>INDEX(CopilotChanges[Date of change / report],MATCH($H311,CopilotChanges[Change ID],0))</x:f>
        <x:v>46189</x:v>
      </x:c>
      <x:c r="B311" s="19" t="str">
        <x:v>M365 Copilot Chat</x:v>
      </x:c>
      <x:c r="C311" s="19" t="str">
        <x:v>Continuous scrolling through chat history</x:v>
      </x:c>
      <x:c r="D311" s="19" t="str">
        <x:v>Older conversations load as users scroll their history.</x:v>
      </x:c>
      <x:c r="E311" s="22" t="str">
        <x:f>INDEX(CopilotChanges[Productivity impact],MATCH($H311,CopilotChanges[Change ID],0))</x:f>
        <x:v>Low</x:v>
      </x:c>
      <x:c r="F311" s="19" t="str">
        <x:v>Locate an earlier project discussion with fewer navigation steps.</x:v>
      </x:c>
      <x:c r="G311" s="19" t="str">
        <x:v>GA-listed; staged rollout; License unspecified; verify tenant entitlement; Web</x:v>
      </x:c>
      <x:c r="H311" s="68" t="str">
        <x:f>IFERROR(HYPERLINK("#'Change log'!A"&amp;(MATCH("COP-E6293186BE",CopilotChanges[Change ID],0)+10),"COP-E6293186BE"),"COP-E6293186BE")</x:f>
        <x:v>COP-E6293186BE</x:v>
      </x:c>
    </x:row>
    <x:row r="312" ht="58" customHeight="1">
      <x:c r="A312" s="74" t="n">
        <x:f>INDEX(CopilotChanges[Date of change / report],MATCH($H312,CopilotChanges[Change ID],0))</x:f>
        <x:v>46189</x:v>
      </x:c>
      <x:c r="B312" s="19" t="str">
        <x:v>M365 Copilot extensibility</x:v>
      </x:c>
      <x:c r="C312" s="19" t="str">
        <x:v>15Five connector</x:v>
      </x:c>
      <x:c r="D312" s="19" t="str">
        <x:v>Bring 15Five priorities and recognition information into Copilot.</x:v>
      </x:c>
      <x:c r="E312" s="22" t="str">
        <x:f>INDEX(CopilotChanges[Productivity impact],MATCH($H312,CopilotChanges[Change ID],0))</x:f>
        <x:v>Medium</x:v>
      </x:c>
      <x:c r="F312" s="19" t="str">
        <x:v>Include team priorities in a weekly manager briefing.</x:v>
      </x:c>
      <x:c r="G312" s="19" t="str">
        <x:v>GA-listed; staged rollout; License unspecified; verify tenant entitlement; Web</x:v>
      </x:c>
      <x:c r="H312" s="68" t="str">
        <x:f>IFERROR(HYPERLINK("#'Change log'!A"&amp;(MATCH("COP-AA976C5CAE",CopilotChanges[Change ID],0)+10),"COP-AA976C5CAE"),"COP-AA976C5CAE")</x:f>
        <x:v>COP-AA976C5CAE</x:v>
      </x:c>
    </x:row>
    <x:row r="313" ht="58" customHeight="1">
      <x:c r="A313" s="74" t="n">
        <x:f>INDEX(CopilotChanges[Date of change / report],MATCH($H313,CopilotChanges[Change ID],0))</x:f>
        <x:v>46189</x:v>
      </x:c>
      <x:c r="B313" s="19" t="str">
        <x:v>PowerPoint</x:v>
      </x:c>
      <x:c r="C313" s="19" t="str">
        <x:v>FLUX.2 Flex in PowerPoint</x:v>
      </x:c>
      <x:c r="D313" s="19" t="str">
        <x:v>Choose an additional image-generation model for presentation visuals.</x:v>
      </x:c>
      <x:c r="E313" s="22" t="str">
        <x:f>INDEX(CopilotChanges[Productivity impact],MATCH($H313,CopilotChanges[Change ID],0))</x:f>
        <x:v>Medium</x:v>
      </x:c>
      <x:c r="F313" s="19" t="str">
        <x:v>Compare alternative visual treatments for a campaign presentation.</x:v>
      </x:c>
      <x:c r="G313" s="19" t="str">
        <x:v>GA-listed; staged rollout; License unspecified; verify tenant entitlement; Web</x:v>
      </x:c>
      <x:c r="H313" s="68" t="str">
        <x:f>IFERROR(HYPERLINK("#'Change log'!A"&amp;(MATCH("COP-F774C84A9A",CopilotChanges[Change ID],0)+10),"COP-F774C84A9A"),"COP-F774C84A9A")</x:f>
        <x:v>COP-F774C84A9A</x:v>
      </x:c>
    </x:row>
    <x:row r="314" ht="58" customHeight="1">
      <x:c r="A314" s="74" t="n">
        <x:f>INDEX(CopilotChanges[Date of change / report],MATCH($H314,CopilotChanges[Change ID],0))</x:f>
        <x:v>46189</x:v>
      </x:c>
      <x:c r="B314" s="19" t="str">
        <x:v>PowerPoint</x:v>
      </x:c>
      <x:c r="C314" s="19" t="str">
        <x:v>Multiple organizational asset libraries</x:v>
      </x:c>
      <x:c r="D314" s="19" t="str">
        <x:v>PowerPoint Copilot can retrieve approved imagery from multiple SharePoint asset libraries.</x:v>
      </x:c>
      <x:c r="E314" s="22" t="str">
        <x:f>INDEX(CopilotChanges[Productivity impact],MATCH($H314,CopilotChanges[Change ID],0))</x:f>
        <x:v>Medium</x:v>
      </x:c>
      <x:c r="F314" s="19" t="str">
        <x:v>Create a cross-brand deck without manually collecting approved imagery.</x:v>
      </x:c>
      <x:c r="G314" s="19" t="str">
        <x:v>GA-listed; staged rollout; License unspecified; verify tenant entitlement; Windows, Web, Mac</x:v>
      </x:c>
      <x:c r="H314" s="68" t="str">
        <x:f>IFERROR(HYPERLINK("#'Change log'!A"&amp;(MATCH("COP-C79F4DD0C6",CopilotChanges[Change ID],0)+10),"COP-C79F4DD0C6"),"COP-C79F4DD0C6")</x:f>
        <x:v>COP-C79F4DD0C6</x:v>
      </x:c>
    </x:row>
    <x:row r="315" ht="58" customHeight="1">
      <x:c r="A315" s="74" t="n">
        <x:f>INDEX(CopilotChanges[Date of change / report],MATCH($H315,CopilotChanges[Change ID],0))</x:f>
        <x:v>46189</x:v>
      </x:c>
      <x:c r="B315" s="19" t="str">
        <x:v>PowerPoint</x:v>
      </x:c>
      <x:c r="C315" s="19" t="str">
        <x:v>PowerPoint visual explanations</x:v>
      </x:c>
      <x:c r="D315" s="19" t="str">
        <x:v>Ask Copilot to explain selected images and shapes.</x:v>
      </x:c>
      <x:c r="E315" s="22" t="str">
        <x:f>INDEX(CopilotChanges[Productivity impact],MATCH($H315,CopilotChanges[Change ID],0))</x:f>
        <x:v>Medium</x:v>
      </x:c>
      <x:c r="F315" s="19" t="str">
        <x:v>Understand an unfamiliar diagram before presenting it to stakeholders.</x:v>
      </x:c>
      <x:c r="G315" s="19" t="str">
        <x:v>GA-listed; staged rollout; License unspecified; verify tenant entitlement; Windows, Web, Mac</x:v>
      </x:c>
      <x:c r="H315" s="68" t="str">
        <x:f>IFERROR(HYPERLINK("#'Change log'!A"&amp;(MATCH("COP-5CD566E4B7",CopilotChanges[Change ID],0)+10),"COP-5CD566E4B7"),"COP-5CD566E4B7")</x:f>
        <x:v>COP-5CD566E4B7</x:v>
      </x:c>
    </x:row>
    <x:row r="316" ht="58" customHeight="1">
      <x:c r="A316" s="74" t="n">
        <x:f>INDEX(CopilotChanges[Date of change / report],MATCH($H316,CopilotChanges[Change ID],0))</x:f>
        <x:v>46175</x:v>
      </x:c>
      <x:c r="B316" s="19" t="str">
        <x:v>Copilot Studio</x:v>
      </x:c>
      <x:c r="C316" s="19" t="str">
        <x:v>Agent evaluation graders</x:v>
      </x:c>
      <x:c r="D316" s="19" t="str">
        <x:v>Use grading criteria to assess agent test results.</x:v>
      </x:c>
      <x:c r="E316" s="22" t="str">
        <x:f>INDEX(CopilotChanges[Productivity impact],MATCH($H316,CopilotChanges[Change ID],0))</x:f>
        <x:v>Medium</x:v>
      </x:c>
      <x:c r="F316" s="19" t="str">
        <x:v>Compare agent versions against repeatable quality requirements.</x:v>
      </x:c>
      <x:c r="G316" s="19" t="str">
        <x:v>GA-listed; staged rollout; License unspecified; verify tenant entitlement; Web</x:v>
      </x:c>
      <x:c r="H316" s="68" t="str">
        <x:f>IFERROR(HYPERLINK("#'Change log'!A"&amp;(MATCH("COP-A7C31F44AB",CopilotChanges[Change ID],0)+10),"COP-A7C31F44AB"),"COP-A7C31F44AB")</x:f>
        <x:v>COP-A7C31F44AB</x:v>
      </x:c>
    </x:row>
    <x:row r="317" ht="58" customHeight="1">
      <x:c r="A317" s="74" t="n">
        <x:f>INDEX(CopilotChanges[Date of change / report],MATCH($H317,CopilotChanges[Change ID],0))</x:f>
        <x:v>46175</x:v>
      </x:c>
      <x:c r="B317" s="19" t="str">
        <x:v>Copilot Studio</x:v>
      </x:c>
      <x:c r="C317" s="19" t="str">
        <x:v>Expected answers for agent evaluation</x:v>
      </x:c>
      <x:c r="D317" s="19" t="str">
        <x:v>Provide expected responses when defining evaluation test cases.</x:v>
      </x:c>
      <x:c r="E317" s="22" t="str">
        <x:f>INDEX(CopilotChanges[Productivity impact],MATCH($H317,CopilotChanges[Change ID],0))</x:f>
        <x:v>Medium</x:v>
      </x:c>
      <x:c r="F317" s="19" t="str">
        <x:v>Check whether an internal FAQ agent answers known scenarios correctly.</x:v>
      </x:c>
      <x:c r="G317" s="19" t="str">
        <x:v>GA-listed; staged rollout; License unspecified; verify tenant entitlement; Web</x:v>
      </x:c>
      <x:c r="H317" s="68" t="str">
        <x:f>IFERROR(HYPERLINK("#'Change log'!A"&amp;(MATCH("COP-0781DE8AE2",CopilotChanges[Change ID],0)+10),"COP-0781DE8AE2"),"COP-0781DE8AE2")</x:f>
        <x:v>COP-0781DE8AE2</x:v>
      </x:c>
    </x:row>
    <x:row r="318" ht="73" customHeight="1">
      <x:c r="A318" s="71" t="n">
        <x:f>INDEX(CopilotChanges[Date of change / report],MATCH($H318,CopilotChanges[Change ID],0))</x:f>
        <x:v>46175</x:v>
      </x:c>
      <x:c r="B318" s="19" t="str">
        <x:v>Learning Agent</x:v>
      </x:c>
      <x:c r="C318" s="19" t="str">
        <x:v>Learning Agent generally available</x:v>
      </x:c>
      <x:c r="D318" s="19" t="str">
        <x:v>Provide work-context-aware learning and skill-development assistance.</x:v>
      </x:c>
      <x:c r="E318" s="22" t="str">
        <x:f>INDEX(CopilotChanges[Productivity impact],MATCH($H318,CopilotChanges[Change ID],0))</x:f>
        <x:v>Medium</x:v>
      </x:c>
      <x:c r="F318" s="19" t="str">
        <x:v>Get a role-relevant practice plan for using Copilot effectively.</x:v>
      </x:c>
      <x:c r="G318" s="19" t="str">
        <x:v>GA; M365 Copilot; additional Viva Learning/provider licenses for some enhanced experiences; Copilot app/web and Word, Excel, PowerPoint, Teams</x:v>
      </x:c>
      <x:c r="H318" s="68" t="str">
        <x:f>IFERROR(HYPERLINK("#'Change log'!A"&amp;(MATCH("COP-9204BC20E9",CopilotChanges[Change ID],0)+10),"COP-9204BC20E9"),"COP-9204BC20E9")</x:f>
        <x:v>COP-9204BC20E9</x:v>
      </x:c>
    </x:row>
    <x:row r="319" ht="58" customHeight="1">
      <x:c r="A319" s="74" t="n">
        <x:f>INDEX(CopilotChanges[Date of change / report],MATCH($H319,CopilotChanges[Change ID],0))</x:f>
        <x:v>46175</x:v>
      </x:c>
      <x:c r="B319" s="19" t="str">
        <x:v>M365 admin center</x:v>
      </x:c>
      <x:c r="C319" s="19" t="str">
        <x:v>Email delivery for organizational messages</x:v>
      </x:c>
      <x:c r="D319" s="19" t="str">
        <x:v>Send centralized organizational messages through email.</x:v>
      </x:c>
      <x:c r="E319" s="22" t="str">
        <x:f>INDEX(CopilotChanges[Productivity impact],MATCH($H319,CopilotChanges[Change ID],0))</x:f>
        <x:v>Medium</x:v>
      </x:c>
      <x:c r="F319" s="19" t="str">
        <x:v>Coordinate a Copilot onboarding campaign using familiar inbox delivery.</x:v>
      </x:c>
      <x:c r="G319" s="19" t="str">
        <x:v>GA-listed; staged rollout; License unspecified; verify tenant entitlement; Web</x:v>
      </x:c>
      <x:c r="H319" s="68" t="str">
        <x:f>IFERROR(HYPERLINK("#'Change log'!A"&amp;(MATCH("COP-2BB97C7F4A",CopilotChanges[Change ID],0)+10),"COP-2BB97C7F4A"),"COP-2BB97C7F4A")</x:f>
        <x:v>COP-2BB97C7F4A</x:v>
      </x:c>
    </x:row>
    <x:row r="320" ht="58" customHeight="1">
      <x:c r="A320" s="74" t="n">
        <x:f>INDEX(CopilotChanges[Date of change / report],MATCH($H320,CopilotChanges[Change ID],0))</x:f>
        <x:v>46175</x:v>
      </x:c>
      <x:c r="B320" s="19" t="str">
        <x:v>M365 admin center</x:v>
      </x:c>
      <x:c r="C320" s="19" t="str">
        <x:v>Usage-based adoption-message targeting</x:v>
      </x:c>
      <x:c r="D320" s="19" t="str">
        <x:v>Target organizational communications using product-engagement segments.</x:v>
      </x:c>
      <x:c r="E320" s="22" t="str">
        <x:f>INDEX(CopilotChanges[Productivity impact],MATCH($H320,CopilotChanges[Change ID],0))</x:f>
        <x:v>Medium</x:v>
      </x:c>
      <x:c r="F320" s="19" t="str">
        <x:v>Send introductory Copilot guidance to people who have not tried it.</x:v>
      </x:c>
      <x:c r="G320" s="19" t="str">
        <x:v>GA-listed; staged rollout; License unspecified; verify tenant entitlement; Web</x:v>
      </x:c>
      <x:c r="H320" s="68" t="str">
        <x:f>IFERROR(HYPERLINK("#'Change log'!A"&amp;(MATCH("COP-95E7D3040F",CopilotChanges[Change ID],0)+10),"COP-95E7D3040F"),"COP-95E7D3040F")</x:f>
        <x:v>COP-95E7D3040F</x:v>
      </x:c>
    </x:row>
    <x:row r="321" ht="58" customHeight="1">
      <x:c r="A321" s="74" t="n">
        <x:f>INDEX(CopilotChanges[Date of change / report],MATCH($H321,CopilotChanges[Change ID],0))</x:f>
        <x:v>46175</x:v>
      </x:c>
      <x:c r="B321" s="19" t="str">
        <x:v>M365 Copilot extensibility</x:v>
      </x:c>
      <x:c r="C321" s="19" t="str">
        <x:v>Federated connectors reach GA</x:v>
      </x:c>
      <x:c r="D321" s="19" t="str">
        <x:v>Retrieve live third-party data through MCP without indexing it into M365.</x:v>
      </x:c>
      <x:c r="E321" s="22" t="str">
        <x:f>INDEX(CopilotChanges[Productivity impact],MATCH($H321,CopilotChanges[Change ID],0))</x:f>
        <x:v>High</x:v>
      </x:c>
      <x:c r="F321" s="19" t="str">
        <x:v>Include current CRM or project-system context in a work briefing.</x:v>
      </x:c>
      <x:c r="G321" s="19" t="str">
        <x:v>GA-listed; staged rollout; License unspecified; verify tenant entitlement; Web</x:v>
      </x:c>
      <x:c r="H321" s="68" t="str">
        <x:f>IFERROR(HYPERLINK("#'Change log'!A"&amp;(MATCH("COP-5C92E59B4E",CopilotChanges[Change ID],0)+10),"COP-5C92E59B4E"),"COP-5C92E59B4E")</x:f>
        <x:v>COP-5C92E59B4E</x:v>
      </x:c>
    </x:row>
    <x:row r="322" ht="58" customHeight="1">
      <x:c r="A322" s="74" t="n">
        <x:f>INDEX(CopilotChanges[Date of change / report],MATCH($H322,CopilotChanges[Change ID],0))</x:f>
        <x:v>46175</x:v>
      </x:c>
      <x:c r="B322" s="19" t="str">
        <x:v>M365 Copilot extensibility</x:v>
      </x:c>
      <x:c r="C322" s="19" t="str">
        <x:v>Rule-based agent lifecycle management</x:v>
      </x:c>
      <x:c r="D322" s="19" t="str">
        <x:v>Automate first-party agent installation and reassignment of ownerless agents.</x:v>
      </x:c>
      <x:c r="E322" s="22" t="str">
        <x:f>INDEX(CopilotChanges[Productivity impact],MATCH($H322,CopilotChanges[Change ID],0))</x:f>
        <x:v>Medium</x:v>
      </x:c>
      <x:c r="F322" s="19" t="str">
        <x:v>Keep agent ownership current after employees change roles.</x:v>
      </x:c>
      <x:c r="G322" s="19" t="str">
        <x:v>GA-listed; staged rollout; License unspecified; verify tenant entitlement; Windows, Web</x:v>
      </x:c>
      <x:c r="H322" s="68" t="str">
        <x:f>IFERROR(HYPERLINK("#'Change log'!A"&amp;(MATCH("COP-EBE6B62812",CopilotChanges[Change ID],0)+10),"COP-EBE6B62812"),"COP-EBE6B62812")</x:f>
        <x:v>COP-EBE6B62812</x:v>
      </x:c>
    </x:row>
    <x:row r="323" ht="58" customHeight="1">
      <x:c r="A323" s="74" t="n">
        <x:f>INDEX(CopilotChanges[Date of change / report],MATCH($H323,CopilotChanges[Change ID],0))</x:f>
        <x:v>46175</x:v>
      </x:c>
      <x:c r="B323" s="19" t="str">
        <x:v>Microsoft Copilot app</x:v>
      </x:c>
      <x:c r="C323" s="19" t="str">
        <x:v>Copilot in model-driven apps</x:v>
      </x:c>
      <x:c r="D323" s="19" t="str">
        <x:v>Bring M365 work context into supported model-driven application workflows.</x:v>
      </x:c>
      <x:c r="E323" s="22" t="str">
        <x:f>INDEX(CopilotChanges[Productivity impact],MATCH($H323,CopilotChanges[Change ID],0))</x:f>
        <x:v>High</x:v>
      </x:c>
      <x:c r="F323" s="19" t="str">
        <x:v>Combine business-record review with related M365 information.</x:v>
      </x:c>
      <x:c r="G323" s="19" t="str">
        <x:v>GA-listed; staged rollout; License unspecified; verify tenant entitlement; Web</x:v>
      </x:c>
      <x:c r="H323" s="68" t="str">
        <x:f>IFERROR(HYPERLINK("#'Change log'!A"&amp;(MATCH("COP-40F145B8BB",CopilotChanges[Change ID],0)+10),"COP-40F145B8BB"),"COP-40F145B8BB")</x:f>
        <x:v>COP-40F145B8BB</x:v>
      </x:c>
    </x:row>
    <x:row r="324" ht="88" customHeight="1">
      <x:c r="A324" s="71" t="n">
        <x:f>INDEX(CopilotChanges[Date of change / report],MATCH($H324,CopilotChanges[Change ID],0))</x:f>
        <x:v>46175</x:v>
      </x:c>
      <x:c r="B324" s="19" t="str">
        <x:v>Microsoft Scout</x:v>
      </x:c>
      <x:c r="C324" s="19" t="str">
        <x:v>Experimental always-on personal agent</x:v>
      </x:c>
      <x:c r="D324" s="19" t="str">
        <x:v>Introduce an autonomous agent with its own governed identity and work context.</x:v>
      </x:c>
      <x:c r="E324" s="22" t="str">
        <x:f>INDEX(CopilotChanges[Productivity impact],MATCH($H324,CopilotChanges[Change ID],0))</x:f>
        <x:v>High</x:v>
      </x:c>
      <x:c r="F324" s="19" t="str">
        <x:v>Explore a controlled pilot for meeting preparation and commitment follow-through.</x:v>
      </x:c>
      <x:c r="G324" s="19" t="str">
        <x:v>Private preview / experimental Frontier; Source requires Frontier enrollment, Intune policy, opt-in attestation and GitHub Copilot license; Selected customers and Frontier organizations; not broad GA</x:v>
      </x:c>
      <x:c r="H324" s="68" t="str">
        <x:f>IFERROR(HYPERLINK("#'Change log'!A"&amp;(MATCH("COP-90A9C82683",CopilotChanges[Change ID],0)+10),"COP-90A9C82683"),"COP-90A9C82683")</x:f>
        <x:v>COP-90A9C82683</x:v>
      </x:c>
    </x:row>
    <x:row r="325" ht="58" customHeight="1">
      <x:c r="A325" s="74" t="n">
        <x:f>INDEX(CopilotChanges[Date of change / report],MATCH($H325,CopilotChanges[Change ID],0))</x:f>
        <x:v>46175</x:v>
      </x:c>
      <x:c r="B325" s="19" t="str">
        <x:v>Word</x:v>
      </x:c>
      <x:c r="C325" s="19" t="str">
        <x:v>Direct editing becomes Word chat default</x:v>
      </x:c>
      <x:c r="D325" s="19" t="str">
        <x:v>Copilot can edit a Word document without first enabling an editing mode.</x:v>
      </x:c>
      <x:c r="E325" s="22" t="str">
        <x:f>INDEX(CopilotChanges[Productivity impact],MATCH($H325,CopilotChanges[Change ID],0))</x:f>
        <x:v>High</x:v>
      </x:c>
      <x:c r="F325" s="19" t="str">
        <x:v>Apply requested revisions directly, then review and undo changes as necessary.</x:v>
      </x:c>
      <x:c r="G325" s="19" t="str">
        <x:v>GA-listed; staged rollout; License unspecified; verify tenant entitlement; Web</x:v>
      </x:c>
      <x:c r="H325" s="68" t="str">
        <x:f>IFERROR(HYPERLINK("#'Change log'!A"&amp;(MATCH("COP-6350D8307F",CopilotChanges[Change ID],0)+10),"COP-6350D8307F"),"COP-6350D8307F")</x:f>
        <x:v>COP-6350D8307F</x:v>
      </x:c>
    </x:row>
    <x:row r="326" ht="58" customHeight="1">
      <x:c r="A326" s="74" t="n">
        <x:f>INDEX(CopilotChanges[Date of change / report],MATCH($H326,CopilotChanges[Change ID],0))</x:f>
        <x:v>46171</x:v>
      </x:c>
      <x:c r="B326" s="19" t="str">
        <x:v>Copilot mobile app</x:v>
      </x:c>
      <x:c r="C326" s="19" t="str">
        <x:v>Apple CarPlay voice access</x:v>
      </x:c>
      <x:c r="D326" s="19" t="str">
        <x:v>Start or continue Copilot voice conversations through CarPlay.</x:v>
      </x:c>
      <x:c r="E326" s="22" t="str">
        <x:f>INDEX(CopilotChanges[Productivity impact],MATCH($H326,CopilotChanges[Change ID],0))</x:f>
        <x:v>Low</x:v>
      </x:c>
      <x:c r="F326" s="19" t="str">
        <x:v>Capture a work idea hands-free when appropriate.</x:v>
      </x:c>
      <x:c r="G326" s="19" t="str">
        <x:v>Reported rollout; License unspecified; verify tenant entitlement; Apple CarPlay</x:v>
      </x:c>
      <x:c r="H326" s="68" t="str">
        <x:f>IFERROR(HYPERLINK("#'Change log'!A"&amp;(MATCH("COP-9C50C549E1",CopilotChanges[Change ID],0)+10),"COP-9C50C549E1"),"COP-9C50C549E1")</x:f>
        <x:v>COP-9C50C549E1</x:v>
      </x:c>
    </x:row>
    <x:row r="327" ht="58" customHeight="1">
      <x:c r="A327" s="77" t="n">
        <x:f>INDEX(CopilotChanges[Date of change / report],MATCH($H327,CopilotChanges[Change ID],0))</x:f>
        <x:v>46171</x:v>
      </x:c>
      <x:c r="B327" s="19" t="str">
        <x:v>Copilot Notebooks</x:v>
      </x:c>
      <x:c r="C327" s="19" t="str">
        <x:v>Notebook infographics</x:v>
      </x:c>
      <x:c r="D327" s="19" t="str">
        <x:v>Generate visual summaries from notebook material.</x:v>
      </x:c>
      <x:c r="E327" s="22" t="str">
        <x:f>INDEX(CopilotChanges[Productivity impact],MATCH($H327,CopilotChanges[Change ID],0))</x:f>
        <x:v>Medium</x:v>
      </x:c>
      <x:c r="F327" s="19" t="str">
        <x:v>Summarize a research notebook into a shareable infographic.</x:v>
      </x:c>
      <x:c r="G327" s="19" t="str">
        <x:v>Frontier preview; broader rollout planned; License unspecified; verify tenant entitlement; Platform/region not specified</x:v>
      </x:c>
      <x:c r="H327" s="68" t="str">
        <x:f>IFERROR(HYPERLINK("#'Change log'!A"&amp;(MATCH("COP-23FFCAB937",CopilotChanges[Change ID],0)+10),"COP-23FFCAB937"),"COP-23FFCAB937")</x:f>
        <x:v>COP-23FFCAB937</x:v>
      </x:c>
    </x:row>
    <x:row r="328" ht="58" customHeight="1">
      <x:c r="A328" s="77" t="n">
        <x:f>INDEX(CopilotChanges[Date of change / report],MATCH($H328,CopilotChanges[Change ID],0))</x:f>
        <x:v>46171</x:v>
      </x:c>
      <x:c r="B328" s="19" t="str">
        <x:v>Copilot Notebooks</x:v>
      </x:c>
      <x:c r="C328" s="19" t="str">
        <x:v>Teams meetings as notebook sources</x:v>
      </x:c>
      <x:c r="D328" s="19" t="str">
        <x:v>Ground notebooks in individual meeting transcripts, notes, chats and shared content.</x:v>
      </x:c>
      <x:c r="E328" s="22" t="str">
        <x:f>INDEX(CopilotChanges[Productivity impact],MATCH($H328,CopilotChanges[Change ID],0))</x:f>
        <x:v>High</x:v>
      </x:c>
      <x:c r="F328" s="19" t="str">
        <x:v>Connect workshop discussions to the resulting proposal notebook.</x:v>
      </x:c>
      <x:c r="G328" s="19" t="str">
        <x:v>Frontier preview; broader rollout planned; License unspecified; verify tenant entitlement; Platform/region not specified</x:v>
      </x:c>
      <x:c r="H328" s="68" t="str">
        <x:f>IFERROR(HYPERLINK("#'Change log'!A"&amp;(MATCH("COP-8196115294",CopilotChanges[Change ID],0)+10),"COP-8196115294"),"COP-8196115294")</x:f>
        <x:v>COP-8196115294</x:v>
      </x:c>
    </x:row>
    <x:row r="329" ht="58" customHeight="1">
      <x:c r="A329" s="77" t="n">
        <x:f>INDEX(CopilotChanges[Date of change / report],MATCH($H329,CopilotChanges[Change ID],0))</x:f>
        <x:v>46171</x:v>
      </x:c>
      <x:c r="B329" s="19" t="str">
        <x:v>Copilot Notebooks</x:v>
      </x:c>
      <x:c r="C329" s="19" t="str">
        <x:v>Unified project notebook layout</x:v>
      </x:c>
      <x:c r="D329" s="19" t="str">
        <x:v>A revised interface groups chats, references and outputs with OneNote synchronization.</x:v>
      </x:c>
      <x:c r="E329" s="22" t="str">
        <x:f>INDEX(CopilotChanges[Productivity impact],MATCH($H329,CopilotChanges[Change ID],0))</x:f>
        <x:v>Medium</x:v>
      </x:c>
      <x:c r="F329" s="19" t="str">
        <x:v>Resume a research project from either OneNote or the Copilot app.</x:v>
      </x:c>
      <x:c r="G329" s="19" t="str">
        <x:v>Planned rollout; License unspecified; verify tenant entitlement; Platform/region not specified</x:v>
      </x:c>
      <x:c r="H329" s="68" t="str">
        <x:f>IFERROR(HYPERLINK("#'Change log'!A"&amp;(MATCH("COP-528DDAAC15",CopilotChanges[Change ID],0)+10),"COP-528DDAAC15"),"COP-528DDAAC15")</x:f>
        <x:v>COP-528DDAAC15</x:v>
      </x:c>
    </x:row>
    <x:row r="330" ht="58" customHeight="1">
      <x:c r="A330" s="74" t="n">
        <x:f>INDEX(CopilotChanges[Date of change / report],MATCH($H330,CopilotChanges[Change ID],0))</x:f>
        <x:v>46171</x:v>
      </x:c>
      <x:c r="B330" s="19" t="str">
        <x:v>Outlook</x:v>
      </x:c>
      <x:c r="C330" s="19" t="str">
        <x:v>Copilot account selector</x:v>
      </x:c>
      <x:c r="D330" s="19" t="str">
        <x:v>Switch the active Copilot-enabled account in the calendar side pane.</x:v>
      </x:c>
      <x:c r="E330" s="22" t="str">
        <x:f>INDEX(CopilotChanges[Productivity impact],MATCH($H330,CopilotChanges[Change ID],0))</x:f>
        <x:v>Medium</x:v>
      </x:c>
      <x:c r="F330" s="19" t="str">
        <x:v>Verify the selected work account before calendar-related assistance.</x:v>
      </x:c>
      <x:c r="G330" s="19" t="str">
        <x:v>Reported rollout; License unspecified; verify tenant entitlement; Outlook for Windows; multiple Copilot-enabled accounts</x:v>
      </x:c>
      <x:c r="H330" s="68" t="str">
        <x:f>IFERROR(HYPERLINK("#'Change log'!A"&amp;(MATCH("COP-3BA0FB7348",CopilotChanges[Change ID],0)+10),"COP-3BA0FB7348"),"COP-3BA0FB7348")</x:f>
        <x:v>COP-3BA0FB7348</x:v>
      </x:c>
    </x:row>
    <x:row r="331" ht="58" customHeight="1">
      <x:c r="A331" s="74" t="n">
        <x:f>INDEX(CopilotChanges[Date of change / report],MATCH($H331,CopilotChanges[Change ID],0))</x:f>
        <x:v>46171</x:v>
      </x:c>
      <x:c r="B331" s="19" t="str">
        <x:v>PowerPoint</x:v>
      </x:c>
      <x:c r="C331" s="19" t="str">
        <x:v>Presentation-review skill</x:v>
      </x:c>
      <x:c r="D331" s="19" t="str">
        <x:v>Run a built-in slide-by-slide review.</x:v>
      </x:c>
      <x:c r="E331" s="22" t="str">
        <x:f>INDEX(CopilotChanges[Productivity impact],MATCH($H331,CopilotChanges[Change ID],0))</x:f>
        <x:v>Medium</x:v>
      </x:c>
      <x:c r="F331" s="19" t="str">
        <x:v>Review an executive presentation before approval.</x:v>
      </x:c>
      <x:c r="G331" s="19" t="str">
        <x:v>Reported rollout; License unspecified; verify tenant entitlement; Platform/region not specified</x:v>
      </x:c>
      <x:c r="H331" s="68" t="str">
        <x:f>IFERROR(HYPERLINK("#'Change log'!A"&amp;(MATCH("COP-4BDB998EAC",CopilotChanges[Change ID],0)+10),"COP-4BDB998EAC"),"COP-4BDB998EAC")</x:f>
        <x:v>COP-4BDB998EAC</x:v>
      </x:c>
    </x:row>
    <x:row r="332" ht="58" customHeight="1">
      <x:c r="A332" s="74" t="n">
        <x:f>INDEX(CopilotChanges[Date of change / report],MATCH($H332,CopilotChanges[Change ID],0))</x:f>
        <x:v>46171</x:v>
      </x:c>
      <x:c r="B332" s="19" t="str">
        <x:v>PowerPoint</x:v>
      </x:c>
      <x:c r="C332" s="19" t="str">
        <x:v>Question-preparation skill</x:v>
      </x:c>
      <x:c r="D332" s="19" t="str">
        <x:v>Use a built-in action to identify weaknesses and likely questions.</x:v>
      </x:c>
      <x:c r="E332" s="22" t="str">
        <x:f>INDEX(CopilotChanges[Productivity impact],MATCH($H332,CopilotChanges[Change ID],0))</x:f>
        <x:v>Medium</x:v>
      </x:c>
      <x:c r="F332" s="19" t="str">
        <x:v>Prepare for objections before a steering-committee presentation.</x:v>
      </x:c>
      <x:c r="G332" s="19" t="str">
        <x:v>Reported rollout; License unspecified; verify tenant entitlement; Platform/region not specified</x:v>
      </x:c>
      <x:c r="H332" s="68" t="str">
        <x:f>IFERROR(HYPERLINK("#'Change log'!A"&amp;(MATCH("COP-450AD8B122",CopilotChanges[Change ID],0)+10),"COP-450AD8B122"),"COP-450AD8B122")</x:f>
        <x:v>COP-450AD8B122</x:v>
      </x:c>
    </x:row>
    <x:row r="333" ht="58" customHeight="1">
      <x:c r="A333" s="74" t="n">
        <x:f>INDEX(CopilotChanges[Date of change / report],MATCH($H333,CopilotChanges[Change ID],0))</x:f>
        <x:v>46171</x:v>
      </x:c>
      <x:c r="B333" s="19" t="str">
        <x:v>PowerPoint</x:v>
      </x:c>
      <x:c r="C333" s="19" t="str">
        <x:v>Slide-visualization skill</x:v>
      </x:c>
      <x:c r="D333" s="19" t="str">
        <x:v>Use a built-in action to transform a text-heavy slide visually.</x:v>
      </x:c>
      <x:c r="E333" s="22" t="str">
        <x:f>INDEX(CopilotChanges[Productivity impact],MATCH($H333,CopilotChanges[Change ID],0))</x:f>
        <x:v>Medium</x:v>
      </x:c>
      <x:c r="F333" s="19" t="str">
        <x:v>Turn a crowded process slide into a clearer visual draft.</x:v>
      </x:c>
      <x:c r="G333" s="19" t="str">
        <x:v>Reported rollout; License unspecified; verify tenant entitlement; Platform/region not specified</x:v>
      </x:c>
      <x:c r="H333" s="68" t="str">
        <x:f>IFERROR(HYPERLINK("#'Change log'!A"&amp;(MATCH("COP-B9D5865278",CopilotChanges[Change ID],0)+10),"COP-B9D5865278"),"COP-B9D5865278")</x:f>
        <x:v>COP-B9D5865278</x:v>
      </x:c>
    </x:row>
    <x:row r="334" ht="58" customHeight="1">
      <x:c r="A334" s="77" t="n">
        <x:f>INDEX(CopilotChanges[Date of change / report],MATCH($H334,CopilotChanges[Change ID],0))</x:f>
        <x:v>46171</x:v>
      </x:c>
      <x:c r="B334" s="19" t="str">
        <x:v>PowerPoint Live</x:v>
      </x:c>
      <x:c r="C334" s="19" t="str">
        <x:v>Slide-text explanations for attendees</x:v>
      </x:c>
      <x:c r="D334" s="19" t="str">
        <x:v>Attendees can ask Copilot about selected presentation text during a meeting.</x:v>
      </x:c>
      <x:c r="E334" s="22" t="str">
        <x:f>INDEX(CopilotChanges[Productivity impact],MATCH($H334,CopilotChanges[Change ID],0))</x:f>
        <x:v>Medium</x:v>
      </x:c>
      <x:c r="F334" s="19" t="str">
        <x:v>Clarify a technical term privately during a briefing.</x:v>
      </x:c>
      <x:c r="G334" s="19" t="str">
        <x:v>Planned rollout; License unspecified; verify tenant entitlement; Platform/region not specified</x:v>
      </x:c>
      <x:c r="H334" s="68" t="str">
        <x:f>IFERROR(HYPERLINK("#'Change log'!A"&amp;(MATCH("COP-3F01638028",CopilotChanges[Change ID],0)+10),"COP-3F01638028"),"COP-3F01638028")</x:f>
        <x:v>COP-3F01638028</x:v>
      </x:c>
    </x:row>
    <x:row r="335" ht="58" customHeight="1">
      <x:c r="A335" s="74" t="n">
        <x:f>INDEX(CopilotChanges[Date of change / report],MATCH($H335,CopilotChanges[Change ID],0))</x:f>
        <x:v>46171</x:v>
      </x:c>
      <x:c r="B335" s="19" t="str">
        <x:v>SharePoint</x:v>
      </x:c>
      <x:c r="C335" s="19" t="str">
        <x:v>Reusable custom Copilot skills</x:v>
      </x:c>
      <x:c r="D335" s="19" t="str">
        <x:v>Save site-specific instructions for repeatable multi-step work.</x:v>
      </x:c>
      <x:c r="E335" s="22" t="str">
        <x:f>INDEX(CopilotChanges[Productivity impact],MATCH($H335,CopilotChanges[Change ID],0))</x:f>
        <x:v>High</x:v>
      </x:c>
      <x:c r="F335" s="19" t="str">
        <x:v>Apply a consistent document-review checklist across a project site.</x:v>
      </x:c>
      <x:c r="G335" s="19" t="str">
        <x:v>Reported rollout; License unspecified; verify tenant entitlement; Platform/region not specified</x:v>
      </x:c>
      <x:c r="H335" s="68" t="str">
        <x:f>IFERROR(HYPERLINK("#'Change log'!A"&amp;(MATCH("COP-ED670184AD",CopilotChanges[Change ID],0)+10),"COP-ED670184AD"),"COP-ED670184AD")</x:f>
        <x:v>COP-ED670184AD</x:v>
      </x:c>
    </x:row>
    <x:row r="336" ht="58" customHeight="1">
      <x:c r="A336" s="77" t="n">
        <x:f>INDEX(CopilotChanges[Date of change / report],MATCH($H336,CopilotChanges[Change ID],0))</x:f>
        <x:v>46171</x:v>
      </x:c>
      <x:c r="B336" s="19" t="str">
        <x:v>Teams</x:v>
      </x:c>
      <x:c r="C336" s="19" t="str">
        <x:v>Copilot call delegation preview</x:v>
      </x:c>
      <x:c r="D336" s="19" t="str">
        <x:v>Copilot can answer incoming calls, capture intent and arrange follow-up bookings.</x:v>
      </x:c>
      <x:c r="E336" s="22" t="str">
        <x:f>INDEX(CopilotChanges[Productivity impact],MATCH($H336,CopilotChanges[Change ID],0))</x:f>
        <x:v>High</x:v>
      </x:c>
      <x:c r="F336" s="19" t="str">
        <x:v>Capture caller details when a team member cannot answer.</x:v>
      </x:c>
      <x:c r="G336" s="19" t="str">
        <x:v>Planned Frontier preview; License unspecified; verify tenant entitlement; Teams Phone; Bookings for follow-up scheduling</x:v>
      </x:c>
      <x:c r="H336" s="68" t="str">
        <x:f>IFERROR(HYPERLINK("#'Change log'!A"&amp;(MATCH("COP-0966AFB09F",CopilotChanges[Change ID],0)+10),"COP-0966AFB09F"),"COP-0966AFB09F")</x:f>
        <x:v>COP-0966AFB09F</x:v>
      </x:c>
    </x:row>
    <x:row r="337" ht="58" customHeight="1">
      <x:c r="A337" s="74" t="n">
        <x:f>INDEX(CopilotChanges[Date of change / report],MATCH($H337,CopilotChanges[Change ID],0))</x:f>
        <x:v>46171</x:v>
      </x:c>
      <x:c r="B337" s="19" t="str">
        <x:v>Teams</x:v>
      </x:c>
      <x:c r="C337" s="19" t="str">
        <x:v>Delete meeting recap artifacts</x:v>
      </x:c>
      <x:c r="D337" s="19" t="str">
        <x:v>Organizers gain a recap action to remove recordings, transcripts and AI recap material.</x:v>
      </x:c>
      <x:c r="E337" s="22" t="str">
        <x:f>INDEX(CopilotChanges[Productivity impact],MATCH($H337,CopilotChanges[Change ID],0))</x:f>
        <x:v>Medium</x:v>
      </x:c>
      <x:c r="F337" s="19" t="str">
        <x:v>Review retention needs before deleting a meeting’s generated recap material.</x:v>
      </x:c>
      <x:c r="G337" s="19" t="str">
        <x:v>Reported rollout; License unspecified; verify tenant entitlement; Platform/region not specified</x:v>
      </x:c>
      <x:c r="H337" s="68" t="str">
        <x:f>IFERROR(HYPERLINK("#'Change log'!A"&amp;(MATCH("COP-7C6D372505",CopilotChanges[Change ID],0)+10),"COP-7C6D372505"),"COP-7C6D372505")</x:f>
        <x:v>COP-7C6D372505</x:v>
      </x:c>
    </x:row>
    <x:row r="338" ht="58" customHeight="1">
      <x:c r="A338" s="74" t="n">
        <x:f>INDEX(CopilotChanges[Date of change / report],MATCH($H338,CopilotChanges[Change ID],0))</x:f>
        <x:v>46171</x:v>
      </x:c>
      <x:c r="B338" s="19" t="str">
        <x:v>Teams</x:v>
      </x:c>
      <x:c r="C338" s="19" t="str">
        <x:v>Video meeting recap</x:v>
      </x:c>
      <x:c r="D338" s="19" t="str">
        <x:v>Produce narrated highlight videos from recorded meetings.</x:v>
      </x:c>
      <x:c r="E338" s="22" t="str">
        <x:f>INDEX(CopilotChanges[Productivity impact],MATCH($H338,CopilotChanges[Change ID],0))</x:f>
        <x:v>High</x:v>
      </x:c>
      <x:c r="F338" s="19" t="str">
        <x:v>Review a condensed meeting with relevant shared visuals.</x:v>
      </x:c>
      <x:c r="G338" s="19" t="str">
        <x:v>Reported rollout; License unspecified; verify tenant entitlement; Platform/region not specified</x:v>
      </x:c>
      <x:c r="H338" s="68" t="str">
        <x:f>IFERROR(HYPERLINK("#'Change log'!A"&amp;(MATCH("COP-619B883A69",CopilotChanges[Change ID],0)+10),"COP-619B883A69"),"COP-619B883A69")</x:f>
        <x:v>COP-619B883A69</x:v>
      </x:c>
    </x:row>
    <x:row r="339" ht="58" customHeight="1">
      <x:c r="A339" s="74" t="n">
        <x:f>INDEX(CopilotChanges[Date of change / report],MATCH($H339,CopilotChanges[Change ID],0))</x:f>
        <x:v>46171</x:v>
      </x:c>
      <x:c r="B339" s="19" t="str">
        <x:v>Word</x:v>
      </x:c>
      <x:c r="C339" s="19" t="str">
        <x:v>In-flow writing suggestions</x:v>
      </x:c>
      <x:c r="D339" s="19" t="str">
        <x:v>Offer recommendations for wording and structure during composition.</x:v>
      </x:c>
      <x:c r="E339" s="22" t="str">
        <x:f>INDEX(CopilotChanges[Productivity impact],MATCH($H339,CopilotChanges[Change ID],0))</x:f>
        <x:v>Medium</x:v>
      </x:c>
      <x:c r="F339" s="19" t="str">
        <x:v>Improve the clarity of a report while drafting it.</x:v>
      </x:c>
      <x:c r="G339" s="19" t="str">
        <x:v>Reported rollout; License unspecified; verify tenant entitlement; Web</x:v>
      </x:c>
      <x:c r="H339" s="68" t="str">
        <x:f>IFERROR(HYPERLINK("#'Change log'!A"&amp;(MATCH("COP-C7EC99862A",CopilotChanges[Change ID],0)+10),"COP-C7EC99862A"),"COP-C7EC99862A")</x:f>
        <x:v>COP-C7EC99862A</x:v>
      </x:c>
    </x:row>
    <x:row r="340" ht="58" customHeight="1">
      <x:c r="A340" s="74" t="n">
        <x:f>INDEX(CopilotChanges[Date of change / report],MATCH($H340,CopilotChanges[Change ID],0))</x:f>
        <x:v>46171</x:v>
      </x:c>
      <x:c r="B340" s="19" t="str">
        <x:v>Word</x:v>
      </x:c>
      <x:c r="C340" s="19" t="str">
        <x:v>Memory-based personalization</x:v>
      </x:c>
      <x:c r="D340" s="19" t="str">
        <x:v>Use relevant prior context to tailor Word Copilot responses.</x:v>
      </x:c>
      <x:c r="E340" s="22" t="str">
        <x:f>INDEX(CopilotChanges[Productivity impact],MATCH($H340,CopilotChanges[Change ID],0))</x:f>
        <x:v>Medium</x:v>
      </x:c>
      <x:c r="F340" s="19" t="str">
        <x:v>Maintain consistent drafting preferences across writing sessions.</x:v>
      </x:c>
      <x:c r="G340" s="19" t="str">
        <x:v>Reported rollout; License unspecified; verify tenant entitlement; Platform/region not specified</x:v>
      </x:c>
      <x:c r="H340" s="68" t="str">
        <x:f>IFERROR(HYPERLINK("#'Change log'!A"&amp;(MATCH("COP-D30AF3D9EA",CopilotChanges[Change ID],0)+10),"COP-D30AF3D9EA"),"COP-D30AF3D9EA")</x:f>
        <x:v>COP-D30AF3D9EA</x:v>
      </x:c>
    </x:row>
    <x:row r="341" ht="58" customHeight="1">
      <x:c r="A341" s="74" t="n">
        <x:f>INDEX(CopilotChanges[Date of change / report],MATCH($H341,CopilotChanges[Change ID],0))</x:f>
        <x:v>46171</x:v>
      </x:c>
      <x:c r="B341" s="19" t="str">
        <x:v>Word</x:v>
      </x:c>
      <x:c r="C341" s="19" t="str">
        <x:v>Personalized document insights</x:v>
      </x:c>
      <x:c r="D341" s="19" t="str">
        <x:v>Surface user-relevant information at the document’s top.</x:v>
      </x:c>
      <x:c r="E341" s="22" t="str">
        <x:f>INDEX(CopilotChanges[Productivity impact],MATCH($H341,CopilotChanges[Change ID],0))</x:f>
        <x:v>Low</x:v>
      </x:c>
      <x:c r="F341" s="19" t="str">
        <x:v>Locate the parts of a shared document most relevant to a review.</x:v>
      </x:c>
      <x:c r="G341" s="19" t="str">
        <x:v>Reported rollout; License unspecified; verify tenant entitlement; Platform/region not specified</x:v>
      </x:c>
      <x:c r="H341" s="68" t="str">
        <x:f>IFERROR(HYPERLINK("#'Change log'!A"&amp;(MATCH("COP-8D7F0506FE",CopilotChanges[Change ID],0)+10),"COP-8D7F0506FE"),"COP-8D7F0506FE")</x:f>
        <x:v>COP-8D7F0506FE</x:v>
      </x:c>
    </x:row>
    <x:row r="342" ht="58" customHeight="1">
      <x:c r="A342" s="74" t="n">
        <x:f>INDEX(CopilotChanges[Date of change / report],MATCH($H342,CopilotChanges[Change ID],0))</x:f>
        <x:v>46171</x:v>
      </x:c>
      <x:c r="B342" s="19" t="str">
        <x:v>Word</x:v>
      </x:c>
      <x:c r="C342" s="19" t="str">
        <x:v>Recent document activity summary</x:v>
      </x:c>
      <x:c r="D342" s="19" t="str">
        <x:v>Summarize recent edits and comments in the Copilot pane.</x:v>
      </x:c>
      <x:c r="E342" s="22" t="str">
        <x:f>INDEX(CopilotChanges[Productivity impact],MATCH($H342,CopilotChanges[Change ID],0))</x:f>
        <x:v>Medium</x:v>
      </x:c>
      <x:c r="F342" s="19" t="str">
        <x:v>Catch up before continuing a shared proposal.</x:v>
      </x:c>
      <x:c r="G342" s="19" t="str">
        <x:v>Reported rollout; License unspecified; verify tenant entitlement; Platform/region not specified</x:v>
      </x:c>
      <x:c r="H342" s="68" t="str">
        <x:f>IFERROR(HYPERLINK("#'Change log'!A"&amp;(MATCH("COP-510F658A8F",CopilotChanges[Change ID],0)+10),"COP-510F658A8F"),"COP-510F658A8F")</x:f>
        <x:v>COP-510F658A8F</x:v>
      </x:c>
    </x:row>
    <x:row r="343" ht="73" customHeight="1">
      <x:c r="A343" s="71" t="n">
        <x:f>INDEX(CopilotChanges[Date of change / report],MATCH($H343,CopilotChanges[Change ID],0))</x:f>
        <x:v>46170</x:v>
      </x:c>
      <x:c r="B343" s="19" t="str">
        <x:v>M365 Copilot / Cowork</x:v>
      </x:c>
      <x:c r="C343" s="19" t="str">
        <x:v>Claude Opus 4.8 rollout</x:v>
      </x:c>
      <x:c r="D343" s="19" t="str">
        <x:v>Expand model choice with Opus 4.8 across supported Copilot workflows.</x:v>
      </x:c>
      <x:c r="E343" s="22" t="str">
        <x:f>INDEX(CopilotChanges[Productivity impact],MATCH($H343,CopilotChanges[Change ID],0))</x:f>
        <x:v>High</x:v>
      </x:c>
      <x:c r="F343" s="19" t="str">
        <x:v>Evaluate output quality on an established analysis or presentation task.</x:v>
      </x:c>
      <x:c r="G343" s="19" t="str">
        <x:v>Available in Frontier; broader rollout; M365 Copilot licensed users for stated app rollout; Cowork Frontier; Chat, Excel, PowerPoint rollout; Studio early-release</x:v>
      </x:c>
      <x:c r="H343" s="68" t="str">
        <x:f>IFERROR(HYPERLINK("#'Change log'!A"&amp;(MATCH("COP-1EFD29A052",CopilotChanges[Change ID],0)+10),"COP-1EFD29A052"),"COP-1EFD29A052")</x:f>
        <x:v>COP-1EFD29A052</x:v>
      </x:c>
    </x:row>
    <x:row r="344" ht="58" customHeight="1">
      <x:c r="A344" s="74" t="n">
        <x:f>INDEX(CopilotChanges[Date of change / report],MATCH($H344,CopilotChanges[Change ID],0))</x:f>
        <x:v>46161</x:v>
      </x:c>
      <x:c r="B344" s="19" t="str">
        <x:v>M365 Copilot Chat</x:v>
      </x:c>
      <x:c r="C344" s="19" t="str">
        <x:v>Email context capture in Outlook chat</x:v>
      </x:c>
      <x:c r="D344" s="19" t="str">
        <x:v>Add selected emails or text to Copilot’s working context through Outlook interactions.</x:v>
      </x:c>
      <x:c r="E344" s="22" t="str">
        <x:f>INDEX(CopilotChanges[Productivity impact],MATCH($H344,CopilotChanges[Change ID],0))</x:f>
        <x:v>Medium</x:v>
      </x:c>
      <x:c r="F344" s="19" t="str">
        <x:v>Ground a reply draft in the relevant thread without manual copying.</x:v>
      </x:c>
      <x:c r="G344" s="19" t="str">
        <x:v>GA-listed; staged rollout; License unspecified; verify tenant entitlement; Windows, Web</x:v>
      </x:c>
      <x:c r="H344" s="68" t="str">
        <x:f>IFERROR(HYPERLINK("#'Change log'!A"&amp;(MATCH("COP-0391A3D640",CopilotChanges[Change ID],0)+10),"COP-0391A3D640"),"COP-0391A3D640")</x:f>
        <x:v>COP-0391A3D640</x:v>
      </x:c>
    </x:row>
    <x:row r="345" ht="58" customHeight="1">
      <x:c r="A345" s="74" t="n">
        <x:f>INDEX(CopilotChanges[Date of change / report],MATCH($H345,CopilotChanges[Change ID],0))</x:f>
        <x:v>46161</x:v>
      </x:c>
      <x:c r="B345" s="19" t="str">
        <x:v>M365 Copilot Chat</x:v>
      </x:c>
      <x:c r="C345" s="19" t="str">
        <x:v>PDF viewing inside Copilot Chat</x:v>
      </x:c>
      <x:c r="D345" s="19" t="str">
        <x:v>Read PDFs within the Copilot chat workspace.</x:v>
      </x:c>
      <x:c r="E345" s="22" t="str">
        <x:f>INDEX(CopilotChanges[Productivity impact],MATCH($H345,CopilotChanges[Change ID],0))</x:f>
        <x:v>Medium</x:v>
      </x:c>
      <x:c r="F345" s="19" t="str">
        <x:v>Review a supplier specification and ask follow-up questions in one place.</x:v>
      </x:c>
      <x:c r="G345" s="19" t="str">
        <x:v>GA-listed; staged rollout; License unspecified; verify tenant entitlement; Windows, Mac, Web</x:v>
      </x:c>
      <x:c r="H345" s="68" t="str">
        <x:f>IFERROR(HYPERLINK("#'Change log'!A"&amp;(MATCH("COP-5922E71083",CopilotChanges[Change ID],0)+10),"COP-5922E71083"),"COP-5922E71083")</x:f>
        <x:v>COP-5922E71083</x:v>
      </x:c>
    </x:row>
    <x:row r="346" ht="73" customHeight="1">
      <x:c r="A346" s="74" t="n">
        <x:f>INDEX(CopilotChanges[Date of change / report],MATCH($H346,CopilotChanges[Change ID],0))</x:f>
        <x:v>46161</x:v>
      </x:c>
      <x:c r="B346" s="19" t="str">
        <x:v>M365 Copilot extensibility</x:v>
      </x:c>
      <x:c r="C346" s="19" t="str">
        <x:v>AI-provider access by user or group</x:v>
      </x:c>
      <x:c r="D346" s="19" t="str">
        <x:v>Administrators can scope model-provider access to selected users and groups.</x:v>
      </x:c>
      <x:c r="E346" s="22" t="str">
        <x:f>INDEX(CopilotChanges[Productivity impact],MATCH($H346,CopilotChanges[Change ID],0))</x:f>
        <x:v>High</x:v>
      </x:c>
      <x:c r="F346" s="19" t="str">
        <x:v>Pilot an additional model provider with a defined evaluation group.</x:v>
      </x:c>
      <x:c r="G346" s="19" t="str">
        <x:v>GA-listed; staged rollout; license unspecified, verify entitlement; Web; xAI: US Copilot Studio opt-in; Copilot Chat availability not established</x:v>
      </x:c>
      <x:c r="H346" s="68" t="str">
        <x:f>IFERROR(HYPERLINK("#'Change log'!A"&amp;(MATCH("COP-4461C57581",CopilotChanges[Change ID],0)+10),"COP-4461C57581"),"COP-4461C57581")</x:f>
        <x:v>COP-4461C57581</x:v>
      </x:c>
    </x:row>
    <x:row r="347" ht="58" customHeight="1">
      <x:c r="A347" s="74" t="n">
        <x:f>INDEX(CopilotChanges[Date of change / report],MATCH($H347,CopilotChanges[Change ID],0))</x:f>
        <x:v>46161</x:v>
      </x:c>
      <x:c r="B347" s="19" t="str">
        <x:v>M365 Copilot extensibility</x:v>
      </x:c>
      <x:c r="C347" s="19" t="str">
        <x:v>Richer custom-connector metadata</x:v>
      </x:c>
      <x:c r="D347" s="19" t="str">
        <x:v>Custom connectors gain configuration for icons, semantics, visibility and property descriptions.</x:v>
      </x:c>
      <x:c r="E347" s="22" t="str">
        <x:f>INDEX(CopilotChanges[Productivity impact],MATCH($H347,CopilotChanges[Change ID],0))</x:f>
        <x:v>Medium</x:v>
      </x:c>
      <x:c r="F347" s="19" t="str">
        <x:v>Make internally connected records easier for users and Copilot to interpret.</x:v>
      </x:c>
      <x:c r="G347" s="19" t="str">
        <x:v>GA-listed; staged rollout; License unspecified; verify tenant entitlement; Web</x:v>
      </x:c>
      <x:c r="H347" s="68" t="str">
        <x:f>IFERROR(HYPERLINK("#'Change log'!A"&amp;(MATCH("COP-DEA30767BA",CopilotChanges[Change ID],0)+10),"COP-DEA30767BA"),"COP-DEA30767BA")</x:f>
        <x:v>COP-DEA30767BA</x:v>
      </x:c>
    </x:row>
    <x:row r="348" ht="58" customHeight="1">
      <x:c r="A348" s="74" t="n">
        <x:f>INDEX(CopilotChanges[Date of change / report],MATCH($H348,CopilotChanges[Change ID],0))</x:f>
        <x:v>46161</x:v>
      </x:c>
      <x:c r="B348" s="19" t="str">
        <x:v>OneDrive</x:v>
      </x:c>
      <x:c r="C348" s="19" t="str">
        <x:v>Suggested actions in file preview</x:v>
      </x:c>
      <x:c r="D348" s="19" t="str">
        <x:v>OneDrive preview offers ready-to-use Copilot prompts.</x:v>
      </x:c>
      <x:c r="E348" s="22" t="str">
        <x:f>INDEX(CopilotChanges[Productivity impact],MATCH($H348,CopilotChanges[Change ID],0))</x:f>
        <x:v>Low</x:v>
      </x:c>
      <x:c r="F348" s="19" t="str">
        <x:v>Start a document summary without writing a custom prompt.</x:v>
      </x:c>
      <x:c r="G348" s="19" t="str">
        <x:v>GA-listed; staged rollout; License unspecified; verify tenant entitlement; Web</x:v>
      </x:c>
      <x:c r="H348" s="68" t="str">
        <x:f>IFERROR(HYPERLINK("#'Change log'!A"&amp;(MATCH("COP-1184EE9A72",CopilotChanges[Change ID],0)+10),"COP-1184EE9A72"),"COP-1184EE9A72")</x:f>
        <x:v>COP-1184EE9A72</x:v>
      </x:c>
    </x:row>
    <x:row r="349" ht="58" customHeight="1">
      <x:c r="A349" s="74" t="n">
        <x:f>INDEX(CopilotChanges[Date of change / report],MATCH($H349,CopilotChanges[Change ID],0))</x:f>
        <x:v>46161</x:v>
      </x:c>
      <x:c r="B349" s="19" t="str">
        <x:v>SharePoint</x:v>
      </x:c>
      <x:c r="C349" s="19" t="str">
        <x:v>SharePoint Admin Agent</x:v>
      </x:c>
      <x:c r="D349" s="19" t="str">
        <x:v>Use natural-language assistance to investigate tenant management questions.</x:v>
      </x:c>
      <x:c r="E349" s="22" t="str">
        <x:f>INDEX(CopilotChanges[Productivity impact],MATCH($H349,CopilotChanges[Change ID],0))</x:f>
        <x:v>Medium</x:v>
      </x:c>
      <x:c r="F349" s="19" t="str">
        <x:v>Locate inactive sites or areas needing access review.</x:v>
      </x:c>
      <x:c r="G349" s="19" t="str">
        <x:v>GA-listed; staged rollout; License unspecified; verify tenant entitlement; Web</x:v>
      </x:c>
      <x:c r="H349" s="68" t="str">
        <x:f>IFERROR(HYPERLINK("#'Change log'!A"&amp;(MATCH("COP-4024F1EFA2",CopilotChanges[Change ID],0)+10),"COP-4024F1EFA2"),"COP-4024F1EFA2")</x:f>
        <x:v>COP-4024F1EFA2</x:v>
      </x:c>
    </x:row>
    <x:row r="350" ht="73" customHeight="1">
      <x:c r="A350" s="71" t="n">
        <x:f>INDEX(CopilotChanges[Date of change / report],MATCH($H350,CopilotChanges[Change ID],0))</x:f>
        <x:v>46149</x:v>
      </x:c>
      <x:c r="B350" s="19" t="str">
        <x:v>M365 Copilot Chat</x:v>
      </x:c>
      <x:c r="C350" s="19" t="str">
        <x:v>GPT-5.5 Instant in Copilot Chat</x:v>
      </x:c>
      <x:c r="D350" s="19" t="str">
        <x:v>An updated fast-response model becomes available for everyday prompts.</x:v>
      </x:c>
      <x:c r="E350" s="22" t="str">
        <x:f>INDEX(CopilotChanges[Productivity impact],MATCH($H350,CopilotChanges[Change ID],0))</x:f>
        <x:v>High</x:v>
      </x:c>
      <x:c r="F350" s="19" t="str">
        <x:v>Use concise responses for routine summaries, questions and first drafts.</x:v>
      </x:c>
      <x:c r="G350" s="19" t="str">
        <x:v>GA-listed; staged rollout; Priority access for M365 Copilot; standard access for Copilot Chat users without that license; Android, Windows, iOS, Mac, Web</x:v>
      </x:c>
      <x:c r="H350" s="68" t="str">
        <x:f>IFERROR(HYPERLINK("#'Change log'!A"&amp;(MATCH("COP-07AD0E90AC",CopilotChanges[Change ID],0)+10),"COP-07AD0E90AC"),"COP-07AD0E90AC")</x:f>
        <x:v>COP-07AD0E90AC</x:v>
      </x:c>
    </x:row>
    <x:row r="351" ht="58" customHeight="1">
      <x:c r="A351" s="74" t="n">
        <x:f>INDEX(CopilotChanges[Date of change / report],MATCH($H351,CopilotChanges[Change ID],0))</x:f>
        <x:v>46147</x:v>
      </x:c>
      <x:c r="B351" s="19" t="str">
        <x:v>M365 Copilot extensibility</x:v>
      </x:c>
      <x:c r="C351" s="19" t="str">
        <x:v>Page-summary nudges in Edge</x:v>
      </x:c>
      <x:c r="D351" s="19" t="str">
        <x:v>Browser prompts expose page summarization through Copilot Chat.</x:v>
      </x:c>
      <x:c r="E351" s="22" t="str">
        <x:f>INDEX(CopilotChanges[Productivity impact],MATCH($H351,CopilotChanges[Change ID],0))</x:f>
        <x:v>Low</x:v>
      </x:c>
      <x:c r="F351" s="19" t="str">
        <x:v>Summarize a long reference page during desk research.</x:v>
      </x:c>
      <x:c r="G351" s="19" t="str">
        <x:v>GA-listed; staged rollout; License unspecified; verify tenant entitlement; Web</x:v>
      </x:c>
      <x:c r="H351" s="68" t="str">
        <x:f>IFERROR(HYPERLINK("#'Change log'!A"&amp;(MATCH("COP-81B815D238",CopilotChanges[Change ID],0)+10),"COP-81B815D238"),"COP-81B815D238")</x:f>
        <x:v>COP-81B815D238</x:v>
      </x:c>
    </x:row>
    <x:row r="352" ht="58" customHeight="1">
      <x:c r="A352" s="74" t="n">
        <x:f>INDEX(CopilotChanges[Date of change / report],MATCH($H352,CopilotChanges[Change ID],0))</x:f>
        <x:v>46147</x:v>
      </x:c>
      <x:c r="B352" s="19" t="str">
        <x:v>Viva Insights</x:v>
      </x:c>
      <x:c r="C352" s="19" t="str">
        <x:v>Broader Insights report recipients</x:v>
      </x:c>
      <x:c r="D352" s="19" t="str">
        <x:v>Publish Viva Insights Power BI reports beyond existing dashboard-access holders.</x:v>
      </x:c>
      <x:c r="E352" s="22" t="str">
        <x:f>INDEX(CopilotChanges[Productivity impact],MATCH($H352,CopilotChanges[Change ID],0))</x:f>
        <x:v>Medium</x:v>
      </x:c>
      <x:c r="F352" s="19" t="str">
        <x:v>Share adoption analysis with relevant business leaders.</x:v>
      </x:c>
      <x:c r="G352" s="19" t="str">
        <x:v>GA-listed; staged rollout; License unspecified; verify tenant entitlement; Web</x:v>
      </x:c>
      <x:c r="H352" s="68" t="str">
        <x:f>IFERROR(HYPERLINK("#'Change log'!A"&amp;(MATCH("COP-0CD6675ED4",CopilotChanges[Change ID],0)+10),"COP-0CD6675ED4"),"COP-0CD6675ED4")</x:f>
        <x:v>COP-0CD6675ED4</x:v>
      </x:c>
    </x:row>
    <x:row r="353" ht="58" customHeight="1">
      <x:c r="A353" s="74" t="n">
        <x:f>INDEX(CopilotChanges[Date of change / report],MATCH($H353,CopilotChanges[Change ID],0))</x:f>
        <x:v>46147</x:v>
      </x:c>
      <x:c r="B353" s="19" t="str">
        <x:v>Viva Insights</x:v>
      </x:c>
      <x:c r="C353" s="19" t="str">
        <x:v>Copilot readiness recommendations</x:v>
      </x:c>
      <x:c r="D353" s="19" t="str">
        <x:v>The Readiness dashboard provides tailored configuration guidance.</x:v>
      </x:c>
      <x:c r="E353" s="22" t="str">
        <x:f>INDEX(CopilotChanges[Productivity impact],MATCH($H353,CopilotChanges[Change ID],0))</x:f>
        <x:v>Medium</x:v>
      </x:c>
      <x:c r="F353" s="19" t="str">
        <x:v>Prioritize deployment setup work before expanding access.</x:v>
      </x:c>
      <x:c r="G353" s="19" t="str">
        <x:v>GA-listed; staged rollout; License unspecified; verify tenant entitlement; Web</x:v>
      </x:c>
      <x:c r="H353" s="68" t="str">
        <x:f>IFERROR(HYPERLINK("#'Change log'!A"&amp;(MATCH("COP-9C46176798",CopilotChanges[Change ID],0)+10),"COP-9C46176798"),"COP-9C46176798")</x:f>
        <x:v>COP-9C46176798</x:v>
      </x:c>
    </x:row>
    <x:row r="354" ht="58" customHeight="1">
      <x:c r="A354" s="77" t="n">
        <x:f>INDEX(CopilotChanges[Date of change / report],MATCH($H354,CopilotChanges[Change ID],0))</x:f>
        <x:v>46142</x:v>
      </x:c>
      <x:c r="B354" s="19" t="str">
        <x:v>Copilot Dashboard</x:v>
      </x:c>
      <x:c r="C354" s="19" t="str">
        <x:v>Daily usage export</x:v>
      </x:c>
      <x:c r="D354" s="19" t="str">
        <x:v>Export de-identified usage at user/day granularity for the recent reporting window.</x:v>
      </x:c>
      <x:c r="E354" s="22" t="str">
        <x:f>INDEX(CopilotChanges[Productivity impact],MATCH($H354,CopilotChanges[Change ID],0))</x:f>
        <x:v>Medium</x:v>
      </x:c>
      <x:c r="F354" s="19" t="str">
        <x:v>Compare engagement before and after a training campaign.</x:v>
      </x:c>
      <x:c r="G354" s="19" t="str">
        <x:v>Planned public preview; License unspecified; verify tenant entitlement; Platform/region not specified</x:v>
      </x:c>
      <x:c r="H354" s="68" t="str">
        <x:f>IFERROR(HYPERLINK("#'Change log'!A"&amp;(MATCH("COP-B44389EE99",CopilotChanges[Change ID],0)+10),"COP-B44389EE99"),"COP-B44389EE99")</x:f>
        <x:v>COP-B44389EE99</x:v>
      </x:c>
    </x:row>
    <x:row r="355" ht="58" customHeight="1">
      <x:c r="A355" s="77" t="n">
        <x:f>INDEX(CopilotChanges[Date of change / report],MATCH($H355,CopilotChanges[Change ID],0))</x:f>
        <x:v>46142</x:v>
      </x:c>
      <x:c r="B355" s="19" t="str">
        <x:v>Copilot Dashboard</x:v>
      </x:c>
      <x:c r="C355" s="19" t="str">
        <x:v>Power-user adoption segments</x:v>
      </x:c>
      <x:c r="D355" s="19" t="str">
        <x:v>Classify usage patterns into engagement segments.</x:v>
      </x:c>
      <x:c r="E355" s="22" t="str">
        <x:f>INDEX(CopilotChanges[Productivity impact],MATCH($H355,CopilotChanges[Change ID],0))</x:f>
        <x:v>Medium</x:v>
      </x:c>
      <x:c r="F355" s="19" t="str">
        <x:v>Recruit frequent users to demonstrate effective workflows.</x:v>
      </x:c>
      <x:c r="G355" s="19" t="str">
        <x:v>Planned rollout; License unspecified; verify tenant entitlement; Platform/region not specified</x:v>
      </x:c>
      <x:c r="H355" s="68" t="str">
        <x:f>IFERROR(HYPERLINK("#'Change log'!A"&amp;(MATCH("COP-3FD1E1D011",CopilotChanges[Change ID],0)+10),"COP-3FD1E1D011"),"COP-3FD1E1D011")</x:f>
        <x:v>COP-3FD1E1D011</x:v>
      </x:c>
    </x:row>
    <x:row r="356" ht="58" customHeight="1">
      <x:c r="A356" s="77" t="n">
        <x:f>INDEX(CopilotChanges[Date of change / report],MATCH($H356,CopilotChanges[Change ID],0))</x:f>
        <x:v>46142</x:v>
      </x:c>
      <x:c r="B356" s="19" t="str">
        <x:v>Copilot mobile app</x:v>
      </x:c>
      <x:c r="C356" s="19" t="str">
        <x:v>Chat-first mobile redesign</x:v>
      </x:c>
      <x:c r="D356" s="19" t="str">
        <x:v>A revised chat layout, prompt formatting and navigation reach the mobile app.</x:v>
      </x:c>
      <x:c r="E356" s="22" t="str">
        <x:f>INDEX(CopilotChanges[Productivity impact],MATCH($H356,CopilotChanges[Change ID],0))</x:f>
        <x:v>Low</x:v>
      </x:c>
      <x:c r="F356" s="19" t="str">
        <x:v>Update mobile training screenshots and show the revised response controls.</x:v>
      </x:c>
      <x:c r="G356" s="19" t="str">
        <x:v>Planned rollout; License unspecified; verify tenant entitlement; Mobile; exact platform distribution not specified</x:v>
      </x:c>
      <x:c r="H356" s="68" t="str">
        <x:f>IFERROR(HYPERLINK("#'Change log'!A"&amp;(MATCH("COP-F142037BC1",CopilotChanges[Change ID],0)+10),"COP-F142037BC1"),"COP-F142037BC1")</x:f>
        <x:v>COP-F142037BC1</x:v>
      </x:c>
    </x:row>
    <x:row r="357" ht="58" customHeight="1">
      <x:c r="A357" s="77" t="n">
        <x:f>INDEX(CopilotChanges[Date of change / report],MATCH($H357,CopilotChanges[Change ID],0))</x:f>
        <x:v>46142</x:v>
      </x:c>
      <x:c r="B357" s="19" t="str">
        <x:v>Copilot Notebooks</x:v>
      </x:c>
      <x:c r="C357" s="19" t="str">
        <x:v>Edit Pages through notebook chat</x:v>
      </x:c>
      <x:c r="D357" s="19" t="str">
        <x:v>Describe changes in chat to create or revise notebook Pages.</x:v>
      </x:c>
      <x:c r="E357" s="22" t="str">
        <x:f>INDEX(CopilotChanges[Productivity impact],MATCH($H357,CopilotChanges[Change ID],0))</x:f>
        <x:v>High</x:v>
      </x:c>
      <x:c r="F357" s="19" t="str">
        <x:v>Ask Copilot to reorganize workshop notes into decisions and actions.</x:v>
      </x:c>
      <x:c r="G357" s="19" t="str">
        <x:v>Planned rollout; License unspecified; verify tenant entitlement; Platform/region not specified</x:v>
      </x:c>
      <x:c r="H357" s="68" t="str">
        <x:f>IFERROR(HYPERLINK("#'Change log'!A"&amp;(MATCH("COP-BB2395375C",CopilotChanges[Change ID],0)+10),"COP-BB2395375C"),"COP-BB2395375C")</x:f>
        <x:v>COP-BB2395375C</x:v>
      </x:c>
    </x:row>
    <x:row r="358" ht="58" customHeight="1">
      <x:c r="A358" s="77" t="n">
        <x:f>INDEX(CopilotChanges[Date of change / report],MATCH($H358,CopilotChanges[Change ID],0))</x:f>
        <x:v>46142</x:v>
      </x:c>
      <x:c r="B358" s="19" t="str">
        <x:v>Copilot Notebooks</x:v>
      </x:c>
      <x:c r="C358" s="19" t="str">
        <x:v>External website references</x:v>
      </x:c>
      <x:c r="D358" s="19" t="str">
        <x:v>Use external page URLs as notebook reference sources.</x:v>
      </x:c>
      <x:c r="E358" s="22" t="str">
        <x:f>INDEX(CopilotChanges[Productivity impact],MATCH($H358,CopilotChanges[Change ID],0))</x:f>
        <x:v>High</x:v>
      </x:c>
      <x:c r="F358" s="19" t="str">
        <x:v>Combine supplier websites with an internal evaluation brief.</x:v>
      </x:c>
      <x:c r="G358" s="19" t="str">
        <x:v>Planned rollout; License unspecified; verify tenant entitlement; Platform/region not specified</x:v>
      </x:c>
      <x:c r="H358" s="68" t="str">
        <x:f>IFERROR(HYPERLINK("#'Change log'!A"&amp;(MATCH("COP-BD1BC1BDB5",CopilotChanges[Change ID],0)+10),"COP-BD1BC1BDB5"),"COP-BD1BC1BDB5")</x:f>
        <x:v>COP-BD1BC1BDB5</x:v>
      </x:c>
    </x:row>
    <x:row r="359" ht="58" customHeight="1">
      <x:c r="A359" s="74" t="n">
        <x:f>INDEX(CopilotChanges[Date of change / report],MATCH($H359,CopilotChanges[Change ID],0))</x:f>
        <x:v>46142</x:v>
      </x:c>
      <x:c r="B359" s="19" t="str">
        <x:v>Copilot Notebooks</x:v>
      </x:c>
      <x:c r="C359" s="19" t="str">
        <x:v>Notebook sharing with M365 Groups</x:v>
      </x:c>
      <x:c r="D359" s="19" t="str">
        <x:v>Share a notebook with a M365 Group.</x:v>
      </x:c>
      <x:c r="E359" s="22" t="str">
        <x:f>INDEX(CopilotChanges[Productivity impact],MATCH($H359,CopilotChanges[Change ID],0))</x:f>
        <x:v>Medium</x:v>
      </x:c>
      <x:c r="F359" s="19" t="str">
        <x:v>Give a project group access to shared research context.</x:v>
      </x:c>
      <x:c r="G359" s="19" t="str">
        <x:v>Frontier preview; License unspecified; verify tenant entitlement; Platform/region not specified</x:v>
      </x:c>
      <x:c r="H359" s="68" t="str">
        <x:f>IFERROR(HYPERLINK("#'Change log'!A"&amp;(MATCH("COP-1CC20717CD",CopilotChanges[Change ID],0)+10),"COP-1CC20717CD"),"COP-1CC20717CD")</x:f>
        <x:v>COP-1CC20717CD</x:v>
      </x:c>
    </x:row>
    <x:row r="360" ht="58" customHeight="1">
      <x:c r="A360" s="74" t="n">
        <x:f>INDEX(CopilotChanges[Date of change / report],MATCH($H360,CopilotChanges[Change ID],0))</x:f>
        <x:v>46142</x:v>
      </x:c>
      <x:c r="B360" s="19" t="str">
        <x:v>Copilot Notebooks</x:v>
      </x:c>
      <x:c r="C360" s="19" t="str">
        <x:v>Notebook study tools</x:v>
      </x:c>
      <x:c r="D360" s="19" t="str">
        <x:v>Generate learning-oriented tools grounded in notebook material.</x:v>
      </x:c>
      <x:c r="E360" s="22" t="str">
        <x:f>INDEX(CopilotChanges[Productivity impact],MATCH($H360,CopilotChanges[Change ID],0))</x:f>
        <x:v>Medium</x:v>
      </x:c>
      <x:c r="F360" s="19" t="str">
        <x:v>Use a policy notebook to prepare a staff-learning exercise.</x:v>
      </x:c>
      <x:c r="G360" s="19" t="str">
        <x:v>Frontier preview; License unspecified; verify tenant entitlement; Platform/region not specified</x:v>
      </x:c>
      <x:c r="H360" s="68" t="str">
        <x:f>IFERROR(HYPERLINK("#'Change log'!A"&amp;(MATCH("COP-3C149E6D67",CopilotChanges[Change ID],0)+10),"COP-3C149E6D67"),"COP-3C149E6D67")</x:f>
        <x:v>COP-3C149E6D67</x:v>
      </x:c>
    </x:row>
    <x:row r="361" ht="58" customHeight="1">
      <x:c r="A361" s="74" t="n">
        <x:f>INDEX(CopilotChanges[Date of change / report],MATCH($H361,CopilotChanges[Change ID],0))</x:f>
        <x:v>46142</x:v>
      </x:c>
      <x:c r="B361" s="19" t="str">
        <x:v>Copilot Notebooks</x:v>
      </x:c>
      <x:c r="C361" s="19" t="str">
        <x:v>SharePoint and OneNote notebook references</x:v>
      </x:c>
      <x:c r="D361" s="19" t="str">
        <x:v>Frontier notebooks can reference SharePoint content and OneNote notebooks.</x:v>
      </x:c>
      <x:c r="E361" s="22" t="str">
        <x:f>INDEX(CopilotChanges[Productivity impact],MATCH($H361,CopilotChanges[Change ID],0))</x:f>
        <x:v>High</x:v>
      </x:c>
      <x:c r="F361" s="19" t="str">
        <x:v>Collect a project’s site content and notes into one research context.</x:v>
      </x:c>
      <x:c r="G361" s="19" t="str">
        <x:v>Frontier preview; License unspecified; verify tenant entitlement; Platform/region not specified</x:v>
      </x:c>
      <x:c r="H361" s="68" t="str">
        <x:f>IFERROR(HYPERLINK("#'Change log'!A"&amp;(MATCH("COP-32133FF644",CopilotChanges[Change ID],0)+10),"COP-32133FF644"),"COP-32133FF644")</x:f>
        <x:v>COP-32133FF644</x:v>
      </x:c>
    </x:row>
    <x:row r="362" ht="58" customHeight="1">
      <x:c r="A362" s="74" t="n">
        <x:f>INDEX(CopilotChanges[Date of change / report],MATCH($H362,CopilotChanges[Change ID],0))</x:f>
        <x:v>46142</x:v>
      </x:c>
      <x:c r="B362" s="19" t="str">
        <x:v>Copilot Pages</x:v>
      </x:c>
      <x:c r="C362" s="19" t="str">
        <x:v>Work-grounded interactive Pages</x:v>
      </x:c>
      <x:c r="D362" s="19" t="str">
        <x:v>Work IQ can ground interactive visuals and apps created within Pages.</x:v>
      </x:c>
      <x:c r="E362" s="22" t="str">
        <x:f>INDEX(CopilotChanges[Productivity impact],MATCH($H362,CopilotChanges[Change ID],0))</x:f>
        <x:v>High</x:v>
      </x:c>
      <x:c r="F362" s="19" t="str">
        <x:v>Explore project information through a generated interactive view.</x:v>
      </x:c>
      <x:c r="G362" s="19" t="str">
        <x:v>Reported rollout; License unspecified; verify tenant entitlement; Platform/region not specified</x:v>
      </x:c>
      <x:c r="H362" s="68" t="str">
        <x:f>IFERROR(HYPERLINK("#'Change log'!A"&amp;(MATCH("COP-C8F9CDA355",CopilotChanges[Change ID],0)+10),"COP-C8F9CDA355"),"COP-C8F9CDA355")</x:f>
        <x:v>COP-C8F9CDA355</x:v>
      </x:c>
    </x:row>
    <x:row r="363" ht="58" customHeight="1">
      <x:c r="A363" s="77" t="n">
        <x:f>INDEX(CopilotChanges[Date of change / report],MATCH($H363,CopilotChanges[Change ID],0))</x:f>
        <x:v>46142</x:v>
      </x:c>
      <x:c r="B363" s="19" t="str">
        <x:v>Excel</x:v>
      </x:c>
      <x:c r="C363" s="19" t="str">
        <x:v>Plan mode before workbook edits</x:v>
      </x:c>
      <x:c r="D363" s="19" t="str">
        <x:v>Review and refine Copilot’s intended approach before it changes a workbook.</x:v>
      </x:c>
      <x:c r="E363" s="22" t="str">
        <x:f>INDEX(CopilotChanges[Productivity impact],MATCH($H363,CopilotChanges[Change ID],0))</x:f>
        <x:v>High</x:v>
      </x:c>
      <x:c r="F363" s="19" t="str">
        <x:v>Check the proposed cleaning and modeling steps before modifying a reporting workbook.</x:v>
      </x:c>
      <x:c r="G363" s="19" t="str">
        <x:v>Planned rollout; License unspecified; verify tenant entitlement; Platform/region not specified</x:v>
      </x:c>
      <x:c r="H363" s="68" t="str">
        <x:f>IFERROR(HYPERLINK("#'Change log'!A"&amp;(MATCH("COP-2EDC328649",CopilotChanges[Change ID],0)+10),"COP-2EDC328649"),"COP-2EDC328649")</x:f>
        <x:v>COP-2EDC328649</x:v>
      </x:c>
    </x:row>
    <x:row r="364" ht="58" customHeight="1">
      <x:c r="A364" s="77" t="n">
        <x:f>INDEX(CopilotChanges[Date of change / report],MATCH($H364,CopilotChanges[Change ID],0))</x:f>
        <x:v>46142</x:v>
      </x:c>
      <x:c r="B364" s="19" t="str">
        <x:v>Excel</x:v>
      </x:c>
      <x:c r="C364" s="19" t="str">
        <x:v>Python within agentic editing</x:v>
      </x:c>
      <x:c r="D364" s="19" t="str">
        <x:v>Copilot can use Python during workbook analysis and editing tasks.</x:v>
      </x:c>
      <x:c r="E364" s="22" t="str">
        <x:f>INDEX(CopilotChanges[Productivity impact],MATCH($H364,CopilotChanges[Change ID],0))</x:f>
        <x:v>High</x:v>
      </x:c>
      <x:c r="F364" s="19" t="str">
        <x:v>Ask for a Python-based statistical exploration while cleaning a dataset.</x:v>
      </x:c>
      <x:c r="G364" s="19" t="str">
        <x:v>Planned rollout; License unspecified; verify tenant entitlement; Platform/region not specified</x:v>
      </x:c>
      <x:c r="H364" s="68" t="str">
        <x:f>IFERROR(HYPERLINK("#'Change log'!A"&amp;(MATCH("COP-F72F69327D",CopilotChanges[Change ID],0)+10),"COP-F72F69327D"),"COP-F72F69327D")</x:f>
        <x:v>COP-F72F69327D</x:v>
      </x:c>
    </x:row>
    <x:row r="365" ht="58" customHeight="1">
      <x:c r="A365" s="74" t="n">
        <x:f>INDEX(CopilotChanges[Date of change / report],MATCH($H365,CopilotChanges[Change ID],0))</x:f>
        <x:v>46142</x:v>
      </x:c>
      <x:c r="B365" s="19" t="str">
        <x:v>M365 admin center</x:v>
      </x:c>
      <x:c r="C365" s="19" t="str">
        <x:v>Prepaid-only billing policies</x:v>
      </x:c>
      <x:c r="D365" s="19" t="str">
        <x:v>Restrict supported consumption experiences to prepaid credits.</x:v>
      </x:c>
      <x:c r="E365" s="22" t="str">
        <x:f>INDEX(CopilotChanges[Productivity impact],MATCH($H365,CopilotChanges[Change ID],0))</x:f>
        <x:v>Medium</x:v>
      </x:c>
      <x:c r="F365" s="19" t="str">
        <x:v>Pilot consumption-based tools under a fixed prepaid allowance.</x:v>
      </x:c>
      <x:c r="G365" s="19" t="str">
        <x:v>Reported rollout; License unspecified; verify tenant entitlement; Platform/region not specified</x:v>
      </x:c>
      <x:c r="H365" s="68" t="str">
        <x:f>IFERROR(HYPERLINK("#'Change log'!A"&amp;(MATCH("COP-EA8828E1A7",CopilotChanges[Change ID],0)+10),"COP-EA8828E1A7"),"COP-EA8828E1A7")</x:f>
        <x:v>COP-EA8828E1A7</x:v>
      </x:c>
    </x:row>
    <x:row r="366" ht="58" customHeight="1">
      <x:c r="A366" s="74" t="n">
        <x:f>INDEX(CopilotChanges[Date of change / report],MATCH($H366,CopilotChanges[Change ID],0))</x:f>
        <x:v>46142</x:v>
      </x:c>
      <x:c r="B366" s="19" t="str">
        <x:v>PowerPoint</x:v>
      </x:c>
      <x:c r="C366" s="19" t="str">
        <x:v>Image-model choice</x:v>
      </x:c>
      <x:c r="D366" s="19" t="str">
        <x:v>Select an image-generation model or let Copilot choose automatically.</x:v>
      </x:c>
      <x:c r="E366" s="22" t="str">
        <x:f>INDEX(CopilotChanges[Productivity impact],MATCH($H366,CopilotChanges[Change ID],0))</x:f>
        <x:v>Medium</x:v>
      </x:c>
      <x:c r="F366" s="19" t="str">
        <x:v>Test alternate models for an illustration in a client deck.</x:v>
      </x:c>
      <x:c r="G366" s="19" t="str">
        <x:v>Reported rollout; License unspecified; verify tenant entitlement; Platform/region not specified</x:v>
      </x:c>
      <x:c r="H366" s="68" t="str">
        <x:f>IFERROR(HYPERLINK("#'Change log'!A"&amp;(MATCH("COP-6D4FF540E0",CopilotChanges[Change ID],0)+10),"COP-6D4FF540E0"),"COP-6D4FF540E0")</x:f>
        <x:v>COP-6D4FF540E0</x:v>
      </x:c>
    </x:row>
    <x:row r="367" ht="58" customHeight="1">
      <x:c r="A367" s="74" t="n">
        <x:f>INDEX(CopilotChanges[Date of change / report],MATCH($H367,CopilotChanges[Change ID],0))</x:f>
        <x:v>46142</x:v>
      </x:c>
      <x:c r="B367" s="19" t="str">
        <x:v>PowerPoint</x:v>
      </x:c>
      <x:c r="C367" s="19" t="str">
        <x:v>Public webpages as presentation sources</x:v>
      </x:c>
      <x:c r="D367" s="19" t="str">
        <x:v>Reference public webpages when generating presentation content.</x:v>
      </x:c>
      <x:c r="E367" s="22" t="str">
        <x:f>INDEX(CopilotChanges[Productivity impact],MATCH($H367,CopilotChanges[Change ID],0))</x:f>
        <x:v>High</x:v>
      </x:c>
      <x:c r="F367" s="19" t="str">
        <x:v>Build a market-context outline from selected public reference pages.</x:v>
      </x:c>
      <x:c r="G367" s="19" t="str">
        <x:v>Reported rollout; License unspecified; verify tenant entitlement; Platform/region not specified</x:v>
      </x:c>
      <x:c r="H367" s="68" t="str">
        <x:f>IFERROR(HYPERLINK("#'Change log'!A"&amp;(MATCH("COP-9F11121A1A",CopilotChanges[Change ID],0)+10),"COP-9F11121A1A"),"COP-9F11121A1A")</x:f>
        <x:v>COP-9F11121A1A</x:v>
      </x:c>
    </x:row>
    <x:row r="368" ht="58" customHeight="1">
      <x:c r="A368" s="74" t="n">
        <x:f>INDEX(CopilotChanges[Date of change / report],MATCH($H368,CopilotChanges[Change ID],0))</x:f>
        <x:v>46142</x:v>
      </x:c>
      <x:c r="B368" s="19" t="str">
        <x:v>Teams</x:v>
      </x:c>
      <x:c r="C368" s="19" t="str">
        <x:v>Consecutive interpretation</x:v>
      </x:c>
      <x:c r="D368" s="19" t="str">
        <x:v>A turn-taking interpreter mode translates after a speaker finishes.</x:v>
      </x:c>
      <x:c r="E368" s="22" t="str">
        <x:f>INDEX(CopilotChanges[Productivity impact],MATCH($H368,CopilotChanges[Change ID],0))</x:f>
        <x:v>High</x:v>
      </x:c>
      <x:c r="F368" s="19" t="str">
        <x:v>Run a two-language discussion with translated turns visible to participants.</x:v>
      </x:c>
      <x:c r="G368" s="19" t="str">
        <x:v>Public preview; License unspecified; verify tenant entitlement; Platform/region not specified</x:v>
      </x:c>
      <x:c r="H368" s="68" t="str">
        <x:f>IFERROR(HYPERLINK("#'Change log'!A"&amp;(MATCH("COP-CFC098B0BC",CopilotChanges[Change ID],0)+10),"COP-CFC098B0BC"),"COP-CFC098B0BC")</x:f>
        <x:v>COP-CFC098B0BC</x:v>
      </x:c>
    </x:row>
    <x:row r="369" ht="58" customHeight="1">
      <x:c r="A369" s="74" t="n">
        <x:f>INDEX(CopilotChanges[Date of change / report],MATCH($H369,CopilotChanges[Change ID],0))</x:f>
        <x:v>46142</x:v>
      </x:c>
      <x:c r="B369" s="19" t="str">
        <x:v>Word</x:v>
      </x:c>
      <x:c r="C369" s="19" t="str">
        <x:v>Anthropic model choice for editing</x:v>
      </x:c>
      <x:c r="D369" s="19" t="str">
        <x:v>Choose a Claude model for Word drafting and editing workflows.</x:v>
      </x:c>
      <x:c r="E369" s="22" t="str">
        <x:f>INDEX(CopilotChanges[Productivity impact],MATCH($H369,CopilotChanges[Change ID],0))</x:f>
        <x:v>Medium</x:v>
      </x:c>
      <x:c r="F369" s="19" t="str">
        <x:v>Try another model when restructuring a difficult report.</x:v>
      </x:c>
      <x:c r="G369" s="19" t="str">
        <x:v>Reported rollout; License unspecified; verify tenant entitlement; Platform/region not specified</x:v>
      </x:c>
      <x:c r="H369" s="68" t="str">
        <x:f>IFERROR(HYPERLINK("#'Change log'!A"&amp;(MATCH("COP-525233092A",CopilotChanges[Change ID],0)+10),"COP-525233092A"),"COP-525233092A")</x:f>
        <x:v>COP-525233092A</x:v>
      </x:c>
    </x:row>
    <x:row r="370" ht="73" customHeight="1">
      <x:c r="A370" s="71" t="n">
        <x:f>INDEX(CopilotChanges[Date of change / report],MATCH($H370,CopilotChanges[Change ID],0))</x:f>
        <x:v>46142</x:v>
      </x:c>
      <x:c r="B370" s="19" t="str">
        <x:v>Word Legal Agent</x:v>
      </x:c>
      <x:c r="C370" s="19" t="str">
        <x:v>Legal Agent preview</x:v>
      </x:c>
      <x:c r="D370" s="19" t="str">
        <x:v>Review contracts against playbooks and propose traceable redlines in Word.</x:v>
      </x:c>
      <x:c r="E370" s="22" t="str">
        <x:f>INDEX(CopilotChanges[Productivity impact],MATCH($H370,CopilotChanges[Change ID],0))</x:f>
        <x:v>High</x:v>
      </x:c>
      <x:c r="F370" s="19" t="str">
        <x:v>Compare contract language with an approved playbook for professional review.</x:v>
      </x:c>
      <x:c r="G370" s="19" t="str">
        <x:v>Frontier preview; Frontier eligibility; full license terms unspecified; Word on Windows desktop; current edited source says worldwide</x:v>
      </x:c>
      <x:c r="H370" s="68" t="str">
        <x:f>IFERROR(HYPERLINK("#'Change log'!A"&amp;(MATCH("COP-F4AA157928",CopilotChanges[Change ID],0)+10),"COP-F4AA157928"),"COP-F4AA157928")</x:f>
        <x:v>COP-F4AA157928</x:v>
      </x:c>
    </x:row>
    <x:row r="371" ht="58" customHeight="1">
      <x:c r="A371" s="74" t="n">
        <x:f>INDEX(CopilotChanges[Date of change / report],MATCH($H371,CopilotChanges[Change ID],0))</x:f>
        <x:v>46141</x:v>
      </x:c>
      <x:c r="B371" s="19" t="str">
        <x:v>OneNote</x:v>
      </x:c>
      <x:c r="C371" s="19" t="str">
        <x:v>Understand images, tables and task tags</x:v>
      </x:c>
      <x:c r="D371" s="19" t="str">
        <x:v>Copilot can reason over richer page content, including completed task markers.</x:v>
      </x:c>
      <x:c r="E371" s="22" t="str">
        <x:f>INDEX(CopilotChanges[Productivity impact],MATCH($H371,CopilotChanges[Change ID],0))</x:f>
        <x:v>High</x:v>
      </x:c>
      <x:c r="F371" s="19" t="str">
        <x:v>Ask which workshop actions remain open and include photographed or tabular context.</x:v>
      </x:c>
      <x:c r="G371" s="19" t="str">
        <x:v>Rolling out; Source wording: M365 Copilot (Premium or Basic); Windows 2601 build 19628.20128+; Mac/iOS 16.106 build 26020821+</x:v>
      </x:c>
      <x:c r="H371" s="68" t="str">
        <x:f>IFERROR(HYPERLINK("#'Change log'!A"&amp;(MATCH("COP-62446810AD",CopilotChanges[Change ID],0)+10),"COP-62446810AD"),"COP-62446810AD")</x:f>
        <x:v>COP-62446810AD</x:v>
      </x:c>
    </x:row>
    <x:row r="372" ht="73" customHeight="1">
      <x:c r="A372" s="71" t="n">
        <x:f>INDEX(CopilotChanges[Date of change / report],MATCH($H372,CopilotChanges[Change ID],0))</x:f>
        <x:v>46139</x:v>
      </x:c>
      <x:c r="B372" s="19" t="str">
        <x:v>M365 Copilot Chat</x:v>
      </x:c>
      <x:c r="C372" s="19" t="str">
        <x:v>GPT-5.5 Thinking in Copilot Chat</x:v>
      </x:c>
      <x:c r="D372" s="19" t="str">
        <x:v>An updated reasoning model supports more involved analytical work.</x:v>
      </x:c>
      <x:c r="E372" s="22" t="str">
        <x:f>INDEX(CopilotChanges[Productivity impact],MATCH($H372,CopilotChanges[Change ID],0))</x:f>
        <x:v>High</x:v>
      </x:c>
      <x:c r="F372" s="19" t="str">
        <x:v>Compare several project options with explicit assumptions and trade-offs.</x:v>
      </x:c>
      <x:c r="G372" s="19" t="str">
        <x:v>GA-listed; staged rollout; License unspecified; verify tenant entitlement; Copilot Chat, Word, Excel, PowerPoint rollout; Copilot Studio early-release environments</x:v>
      </x:c>
      <x:c r="H372" s="68" t="str">
        <x:f>IFERROR(HYPERLINK("#'Change log'!A"&amp;(MATCH("COP-95C0183EEF",CopilotChanges[Change ID],0)+10),"COP-95C0183EEF"),"COP-95C0183EEF")</x:f>
        <x:v>COP-95C0183EEF</x:v>
      </x:c>
    </x:row>
    <x:row r="373" ht="58" customHeight="1">
      <x:c r="A373" s="71" t="n">
        <x:f>INDEX(CopilotChanges[Date of change / report],MATCH($H373,CopilotChanges[Change ID],0))</x:f>
        <x:v>46139</x:v>
      </x:c>
      <x:c r="B373" s="19" t="str">
        <x:v>Outlook</x:v>
      </x:c>
      <x:c r="C373" s="19" t="str">
        <x:v>Agentic inbox workflows</x:v>
      </x:c>
      <x:c r="D373" s="19" t="str">
        <x:v>Handle multi-step inbox triage, contextual drafts and inbox-rule tasks.</x:v>
      </x:c>
      <x:c r="E373" s="22" t="str">
        <x:f>INDEX(CopilotChanges[Productivity impact],MATCH($H373,CopilotChanges[Change ID],0))</x:f>
        <x:v>High</x:v>
      </x:c>
      <x:c r="F373" s="19" t="str">
        <x:v>Find important unanswered threads and prepare suitable follow-ups.</x:v>
      </x:c>
      <x:c r="G373" s="19" t="str">
        <x:v>Frontier preview; Frontier eligibility; full license terms unspecified; All Outlook endpoints in announcement</x:v>
      </x:c>
      <x:c r="H373" s="68" t="str">
        <x:f>IFERROR(HYPERLINK("#'Change log'!A"&amp;(MATCH("COP-CCB48B0E85",CopilotChanges[Change ID],0)+10),"COP-CCB48B0E85"),"COP-CCB48B0E85")</x:f>
        <x:v>COP-CCB48B0E85</x:v>
      </x:c>
    </x:row>
    <x:row r="374" ht="58" customHeight="1">
      <x:c r="A374" s="71" t="n">
        <x:f>INDEX(CopilotChanges[Date of change / report],MATCH($H374,CopilotChanges[Change ID],0))</x:f>
        <x:v>46139</x:v>
      </x:c>
      <x:c r="B374" s="19" t="str">
        <x:v>Outlook</x:v>
      </x:c>
      <x:c r="C374" s="19" t="str">
        <x:v>Delegated calendar management</x:v>
      </x:c>
      <x:c r="D374" s="19" t="str">
        <x:v>Handle ongoing scheduling, conflicts, focus time and meeting updates.</x:v>
      </x:c>
      <x:c r="E374" s="22" t="str">
        <x:f>INDEX(CopilotChanges[Productivity impact],MATCH($H374,CopilotChanges[Change ID],0))</x:f>
        <x:v>High</x:v>
      </x:c>
      <x:c r="F374" s="19" t="str">
        <x:v>Keep a managed recurring one-to-one from conflicting with other commitments.</x:v>
      </x:c>
      <x:c r="G374" s="19" t="str">
        <x:v>Frontier preview; Frontier eligibility; full license terms unspecified; Outlook for Windows and web</x:v>
      </x:c>
      <x:c r="H374" s="68" t="str">
        <x:f>IFERROR(HYPERLINK("#'Change log'!A"&amp;(MATCH("COP-722ADC73CC",CopilotChanges[Change ID],0)+10),"COP-722ADC73CC"),"COP-722ADC73CC")</x:f>
        <x:v>COP-722ADC73CC</x:v>
      </x:c>
    </x:row>
    <x:row r="375" ht="73" customHeight="1">
      <x:c r="A375" s="77" t="n">
        <x:f>INDEX(CopilotChanges[Date of change / report],MATCH($H375,CopilotChanges[Change ID],0))</x:f>
        <x:v>46139</x:v>
      </x:c>
      <x:c r="B375" s="19" t="str">
        <x:v>PowerPoint / Copilot Chat</x:v>
      </x:c>
      <x:c r="C375" s="19" t="str">
        <x:v>ChatGPT Images 2.0 rollout</x:v>
      </x:c>
      <x:c r="D375" s="19" t="str">
        <x:v>Add a newer OpenAI image model to Copilot visual generation.</x:v>
      </x:c>
      <x:c r="E375" s="22" t="str">
        <x:f>INDEX(CopilotChanges[Productivity impact],MATCH($H375,CopilotChanges[Change ID],0))</x:f>
        <x:v>Medium</x:v>
      </x:c>
      <x:c r="F375" s="19" t="str">
        <x:v>Generate alternative supporting visuals for a business presentation.</x:v>
      </x:c>
      <x:c r="G375" s="19" t="str">
        <x:v>PowerPoint rolling out; Chat planned; License unspecified; verify tenant entitlement; PowerPoint initial rollout; Copilot Chat coming soon</x:v>
      </x:c>
      <x:c r="H375" s="68" t="str">
        <x:f>IFERROR(HYPERLINK("#'Change log'!A"&amp;(MATCH("COP-AD0F51EE7C",CopilotChanges[Change ID],0)+10),"COP-AD0F51EE7C"),"COP-AD0F51EE7C")</x:f>
        <x:v>COP-AD0F51EE7C</x:v>
      </x:c>
    </x:row>
    <x:row r="376" ht="58" customHeight="1">
      <x:c r="A376" s="71" t="n">
        <x:f>INDEX(CopilotChanges[Date of change / report],MATCH($H376,CopilotChanges[Change ID],0))</x:f>
        <x:v>46134</x:v>
      </x:c>
      <x:c r="B376" s="19" t="str">
        <x:v>Excel</x:v>
      </x:c>
      <x:c r="C376" s="19" t="str">
        <x:v>Agentic capabilities generally available</x:v>
      </x:c>
      <x:c r="D376" s="19" t="str">
        <x:v>Direct multi-step workbook analysis and editing becomes generally available.</x:v>
      </x:c>
      <x:c r="E376" s="22" t="str">
        <x:f>INDEX(CopilotChanges[Productivity impact],MATCH($H376,CopilotChanges[Change ID],0))</x:f>
        <x:v>High</x:v>
      </x:c>
      <x:c r="F376" s="19" t="str">
        <x:v>Build analysis with formulas, tables and visuals in the workbook.</x:v>
      </x:c>
      <x:c r="G376" s="19" t="str">
        <x:v>GA; M365 Copilot/Premium; source also lists Personal/Family; platform/build matrix unspecified</x:v>
      </x:c>
      <x:c r="H376" s="68" t="str">
        <x:f>IFERROR(HYPERLINK("#'Change log'!A"&amp;(MATCH("COP-7E0B3BC095",CopilotChanges[Change ID],0)+10),"COP-7E0B3BC095"),"COP-7E0B3BC095")</x:f>
        <x:v>COP-7E0B3BC095</x:v>
      </x:c>
    </x:row>
    <x:row r="377" ht="58" customHeight="1">
      <x:c r="A377" s="71" t="n">
        <x:f>INDEX(CopilotChanges[Date of change / report],MATCH($H377,CopilotChanges[Change ID],0))</x:f>
        <x:v>46134</x:v>
      </x:c>
      <x:c r="B377" s="19" t="str">
        <x:v>PowerPoint</x:v>
      </x:c>
      <x:c r="C377" s="19" t="str">
        <x:v>Agentic capabilities generally available</x:v>
      </x:c>
      <x:c r="D377" s="19" t="str">
        <x:v>Direct multi-step presentation creation and revision becomes generally available.</x:v>
      </x:c>
      <x:c r="E377" s="22" t="str">
        <x:f>INDEX(CopilotChanges[Productivity impact],MATCH($H377,CopilotChanges[Change ID],0))</x:f>
        <x:v>High</x:v>
      </x:c>
      <x:c r="F377" s="19" t="str">
        <x:v>Refresh an existing deck while retaining its template.</x:v>
      </x:c>
      <x:c r="G377" s="19" t="str">
        <x:v>GA; M365 Copilot/Premium; source also lists Personal/Family; platform/build matrix unspecified</x:v>
      </x:c>
      <x:c r="H377" s="68" t="str">
        <x:f>IFERROR(HYPERLINK("#'Change log'!A"&amp;(MATCH("COP-1AB2D711A3",CopilotChanges[Change ID],0)+10),"COP-1AB2D711A3"),"COP-1AB2D711A3")</x:f>
        <x:v>COP-1AB2D711A3</x:v>
      </x:c>
    </x:row>
    <x:row r="378" ht="58" customHeight="1">
      <x:c r="A378" s="71" t="n">
        <x:f>INDEX(CopilotChanges[Date of change / report],MATCH($H378,CopilotChanges[Change ID],0))</x:f>
        <x:v>46134</x:v>
      </x:c>
      <x:c r="B378" s="19" t="str">
        <x:v>Word</x:v>
      </x:c>
      <x:c r="C378" s="19" t="str">
        <x:v>Agentic capabilities generally available</x:v>
      </x:c>
      <x:c r="D378" s="19" t="str">
        <x:v>Direct multi-step drafting and document restructuring becomes generally available.</x:v>
      </x:c>
      <x:c r="E378" s="22" t="str">
        <x:f>INDEX(CopilotChanges[Productivity impact],MATCH($H378,CopilotChanges[Change ID],0))</x:f>
        <x:v>High</x:v>
      </x:c>
      <x:c r="F378" s="19" t="str">
        <x:v>Rewrite and reorganize a report directly in its document.</x:v>
      </x:c>
      <x:c r="G378" s="19" t="str">
        <x:v>GA; M365 Copilot/Premium; source also lists Personal/Family; platform/build matrix unspecified</x:v>
      </x:c>
      <x:c r="H378" s="68" t="str">
        <x:f>IFERROR(HYPERLINK("#'Change log'!A"&amp;(MATCH("COP-CF4CB7FBFA",CopilotChanges[Change ID],0)+10),"COP-CF4CB7FBFA"),"COP-CF4CB7FBFA")</x:f>
        <x:v>COP-CF4CB7FBFA</x:v>
      </x:c>
    </x:row>
    <x:row r="379" ht="58" customHeight="1">
      <x:c r="A379" s="74" t="n">
        <x:f>INDEX(CopilotChanges[Date of change / report],MATCH($H379,CopilotChanges[Change ID],0))</x:f>
        <x:v>46133</x:v>
      </x:c>
      <x:c r="B379" s="19" t="str">
        <x:v>M365 admin center</x:v>
      </x:c>
      <x:c r="C379" s="19" t="str">
        <x:v>Admin control for AI video generation</x:v>
      </x:c>
      <x:c r="D379" s="19" t="str">
        <x:v>A dedicated setting controls access to supported AI video generation.</x:v>
      </x:c>
      <x:c r="E379" s="22" t="str">
        <x:f>INDEX(CopilotChanges[Productivity impact],MATCH($H379,CopilotChanges[Change ID],0))</x:f>
        <x:v>Medium</x:v>
      </x:c>
      <x:c r="F379" s="19" t="str">
        <x:v>Align video-creation access with organizational review requirements.</x:v>
      </x:c>
      <x:c r="G379" s="19" t="str">
        <x:v>GA-listed; staged rollout; License unspecified; verify tenant entitlement; Platform unspecified</x:v>
      </x:c>
      <x:c r="H379" s="68" t="str">
        <x:f>IFERROR(HYPERLINK("#'Change log'!A"&amp;(MATCH("COP-EF67F0C450",CopilotChanges[Change ID],0)+10),"COP-EF67F0C450"),"COP-EF67F0C450")</x:f>
        <x:v>COP-EF67F0C450</x:v>
      </x:c>
    </x:row>
    <x:row r="380" ht="58" customHeight="1">
      <x:c r="A380" s="74" t="n">
        <x:f>INDEX(CopilotChanges[Date of change / report],MATCH($H380,CopilotChanges[Change ID],0))</x:f>
        <x:v>46133</x:v>
      </x:c>
      <x:c r="B380" s="19" t="str">
        <x:v>M365 Copilot Chat</x:v>
      </x:c>
      <x:c r="C380" s="19" t="str">
        <x:v>Interactive Bing answer cards</x:v>
      </x:c>
      <x:c r="D380" s="19" t="str">
        <x:v>Copilot Chat can show structured live web information in interactive cards.</x:v>
      </x:c>
      <x:c r="E380" s="22" t="str">
        <x:f>INDEX(CopilotChanges[Productivity impact],MATCH($H380,CopilotChanges[Change ID],0))</x:f>
        <x:v>Low</x:v>
      </x:c>
      <x:c r="F380" s="19" t="str">
        <x:v>Check contextual weather information while planning business travel.</x:v>
      </x:c>
      <x:c r="G380" s="19" t="str">
        <x:v>GA-listed; staged rollout; License unspecified; verify tenant entitlement; Windows, Web</x:v>
      </x:c>
      <x:c r="H380" s="68" t="str">
        <x:f>IFERROR(HYPERLINK("#'Change log'!A"&amp;(MATCH("COP-2D2062429B",CopilotChanges[Change ID],0)+10),"COP-2D2062429B"),"COP-2D2062429B")</x:f>
        <x:v>COP-2D2062429B</x:v>
      </x:c>
    </x:row>
    <x:row r="381" ht="58" customHeight="1">
      <x:c r="A381" s="74" t="n">
        <x:f>INDEX(CopilotChanges[Date of change / report],MATCH($H381,CopilotChanges[Change ID],0))</x:f>
        <x:v>46133</x:v>
      </x:c>
      <x:c r="B381" s="19" t="str">
        <x:v>M365 Copilot extensibility</x:v>
      </x:c>
      <x:c r="C381" s="19" t="str">
        <x:v>Share an agent with a Teams team</x:v>
      </x:c>
      <x:c r="D381" s="19" t="str">
        <x:v>Distribute an agent to a selected team with an optional channel notification.</x:v>
      </x:c>
      <x:c r="E381" s="22" t="str">
        <x:f>INDEX(CopilotChanges[Productivity impact],MATCH($H381,CopilotChanges[Change ID],0))</x:f>
        <x:v>Medium</x:v>
      </x:c>
      <x:c r="F381" s="19" t="str">
        <x:v>Make a project-support agent discoverable to its intended users.</x:v>
      </x:c>
      <x:c r="G381" s="19" t="str">
        <x:v>GA-listed; staged rollout; License unspecified; verify tenant entitlement; Web</x:v>
      </x:c>
      <x:c r="H381" s="68" t="str">
        <x:f>IFERROR(HYPERLINK("#'Change log'!A"&amp;(MATCH("COP-EF838E7CC6",CopilotChanges[Change ID],0)+10),"COP-EF838E7CC6"),"COP-EF838E7CC6")</x:f>
        <x:v>COP-EF838E7CC6</x:v>
      </x:c>
    </x:row>
    <x:row r="382" ht="73" customHeight="1">
      <x:c r="A382" s="71" t="n">
        <x:f>INDEX(CopilotChanges[Date of change / report],MATCH($H382,CopilotChanges[Change ID],0))</x:f>
        <x:v>46128</x:v>
      </x:c>
      <x:c r="B382" s="19" t="str">
        <x:v>M365 Copilot / Excel / Cowork</x:v>
      </x:c>
      <x:c r="C382" s="19" t="str">
        <x:v>Claude Opus 4.7 rollout</x:v>
      </x:c>
      <x:c r="D382" s="19" t="str">
        <x:v>Add Opus 4.7 to supported model-selection surfaces.</x:v>
      </x:c>
      <x:c r="E382" s="22" t="str">
        <x:f>INDEX(CopilotChanges[Productivity impact],MATCH($H382,CopilotChanges[Change ID],0))</x:f>
        <x:v>High</x:v>
      </x:c>
      <x:c r="F382" s="19" t="str">
        <x:v>Test complex Excel and delegated workflows against the newly available model.</x:v>
      </x:c>
      <x:c r="G382" s="19" t="str">
        <x:v>Available in preview surfaces; Excel rolling out; License unspecified; verify tenant entitlement; Cowork Frontier; Copilot Studio early-release; Excel rollout</x:v>
      </x:c>
      <x:c r="H382" s="68" t="str">
        <x:f>IFERROR(HYPERLINK("#'Change log'!A"&amp;(MATCH("COP-6303A3DB9A",CopilotChanges[Change ID],0)+10),"COP-6303A3DB9A"),"COP-6303A3DB9A")</x:f>
        <x:v>COP-6303A3DB9A</x:v>
      </x:c>
    </x:row>
    <x:row r="383" ht="110" customHeight="1">
      <x:c r="A383" s="82" t="n">
        <x:f>INDEX(CopilotChanges[Date of change / report],MATCH($H383,CopilotChanges[Change ID],0))</x:f>
        <x:v>46322</x:v>
      </x:c>
      <x:c r="B383" s="19" t="str">
        <x:v>Viva Insights</x:v>
      </x:c>
      <x:c r="C383" s="19" t="str">
        <x:v>Expanded Copilot metrics</x:v>
      </x:c>
      <x:c r="D383" s="19" t="str">
        <x:v>More app actions and feature-level adoption metrics.</x:v>
      </x:c>
      <x:c r="E383" s="22" t="str">
        <x:f>INDEX(CopilotChanges[Productivity impact],MATCH($H383,CopilotChanges[Change ID],0))</x:f>
        <x:v>Medium</x:v>
      </x:c>
      <x:c r="F383" s="19" t="str">
        <x:v>Target training using observed adoption</x:v>
      </x:c>
      <x:c r="G383" s="19" t="str">
        <x:v>Released per GA release notes; gradual tenant deployment; Web; exact licensing not established by this entry; account entitlement, region and rollout must be verified. No tenant access was tested.</x:v>
      </x:c>
      <x:c r="H383" s="68" t="str">
        <x:f>IFERROR(HYPERLINK("#'Change log'!A"&amp;(MATCH("COP-3F8E3C3F64",CopilotChanges[Change ID],0)+10),"COP-3F8E3C3F64"),"COP-3F8E3C3F64")</x:f>
        <x:v>COP-3F8E3C3F64</x:v>
      </x:c>
    </x:row>
    <x:row r="384" ht="110" customHeight="1">
      <x:c r="A384" s="82" t="n">
        <x:f>INDEX(CopilotChanges[Date of change / report],MATCH($H384,CopilotChanges[Change ID],0))</x:f>
        <x:v>46322</x:v>
      </x:c>
      <x:c r="B384" s="19" t="str">
        <x:v>Copilot Notebooks</x:v>
      </x:c>
      <x:c r="C384" s="19" t="str">
        <x:v>Web-link references</x:v>
      </x:c>
      <x:c r="D384" s="19" t="str">
        <x:v>Web links can ground notebooks.</x:v>
      </x:c>
      <x:c r="E384" s="22" t="str">
        <x:f>INDEX(CopilotChanges[Productivity impact],MATCH($H384,CopilotChanges[Change ID],0))</x:f>
        <x:v>High</x:v>
      </x:c>
      <x:c r="F384" s="19" t="str">
        <x:v>Include public research alongside project context</x:v>
      </x:c>
      <x:c r="G384" s="19" t="str">
        <x:v>Released per GA release notes; gradual tenant deployment; Web; exact licensing not established by this entry; account entitlement, region and rollout must be verified. No tenant access was tested.</x:v>
      </x:c>
      <x:c r="H384" s="68" t="str">
        <x:f>IFERROR(HYPERLINK("#'Change log'!A"&amp;(MATCH("COP-B0D7A71CC7",CopilotChanges[Change ID],0)+10),"COP-B0D7A71CC7"),"COP-B0D7A71CC7")</x:f>
        <x:v>COP-B0D7A71CC7</x:v>
      </x:c>
    </x:row>
    <x:row r="385" ht="110" customHeight="1">
      <x:c r="A385" s="82" t="n">
        <x:f>INDEX(CopilotChanges[Date of change / report],MATCH($H385,CopilotChanges[Change ID],0))</x:f>
        <x:v>46322</x:v>
      </x:c>
      <x:c r="B385" s="19" t="str">
        <x:v>Copilot Notebooks</x:v>
      </x:c>
      <x:c r="C385" s="19" t="str">
        <x:v>iOS persistent workspace</x:v>
      </x:c>
      <x:c r="D385" s="19" t="str">
        <x:v>Related chats, outputs and references remain together.</x:v>
      </x:c>
      <x:c r="E385" s="22" t="str">
        <x:f>INDEX(CopilotChanges[Productivity impact],MATCH($H385,CopilotChanges[Change ID],0))</x:f>
        <x:v>High</x:v>
      </x:c>
      <x:c r="F385" s="19" t="str">
        <x:v>Resume projects without restating context</x:v>
      </x:c>
      <x:c r="G385" s="19" t="str">
        <x:v>Released per GA release notes; gradual tenant deployment; iOS; exact licensing not established by this entry; account entitlement, region and rollout must be verified. No tenant access was tested.</x:v>
      </x:c>
      <x:c r="H385" s="68" t="str">
        <x:f>IFERROR(HYPERLINK("#'Change log'!A"&amp;(MATCH("COP-5B1EBC362E",CopilotChanges[Change ID],0)+10),"COP-5B1EBC362E"),"COP-5B1EBC362E")</x:f>
        <x:v>COP-5B1EBC362E</x:v>
      </x:c>
    </x:row>
    <x:row r="386" ht="110" customHeight="1">
      <x:c r="A386" s="82" t="n">
        <x:f>INDEX(CopilotChanges[Date of change / report],MATCH($H386,CopilotChanges[Change ID],0))</x:f>
        <x:v>46322</x:v>
      </x:c>
      <x:c r="B386" s="19" t="str">
        <x:v>Researcher</x:v>
      </x:c>
      <x:c r="C386" s="19" t="str">
        <x:v>Canva connector</x:v>
      </x:c>
      <x:c r="D386" s="19" t="str">
        <x:v>Researcher can use connected Canva content.</x:v>
      </x:c>
      <x:c r="E386" s="22" t="str">
        <x:f>INDEX(CopilotChanges[Productivity impact],MATCH($H386,CopilotChanges[Change ID],0))</x:f>
        <x:v>Medium</x:v>
      </x:c>
      <x:c r="F386" s="19" t="str">
        <x:v>Reduce cross-app research collection</x:v>
      </x:c>
      <x:c r="G386" s="19" t="str">
        <x:v>Released per GA release notes; gradual tenant deployment; Web; exact licensing not established by this entry; account entitlement, region and rollout must be verified. No tenant access was tested. Requires enabled Canva connection and permitted source content.</x:v>
      </x:c>
      <x:c r="H386" s="68" t="str">
        <x:f>IFERROR(HYPERLINK("#'Change log'!A"&amp;(MATCH("COP-2144277019",CopilotChanges[Change ID],0)+10),"COP-2144277019"),"COP-2144277019")</x:f>
        <x:v>COP-2144277019</x:v>
      </x:c>
    </x:row>
    <x:row r="387" ht="110" customHeight="1">
      <x:c r="A387" s="82" t="n">
        <x:f>INDEX(CopilotChanges[Date of change / report],MATCH($H387,CopilotChanges[Change ID],0))</x:f>
        <x:v>46322</x:v>
      </x:c>
      <x:c r="B387" s="19" t="str">
        <x:v>Microsoft 365 Copilot extensibility</x:v>
      </x:c>
      <x:c r="C387" s="19" t="str">
        <x:v>Custom MCP connectors</x:v>
      </x:c>
      <x:c r="D387" s="19" t="str">
        <x:v>Admins create and deploy organization-wide MCP connectors.</x:v>
      </x:c>
      <x:c r="E387" s="22" t="str">
        <x:f>INDEX(CopilotChanges[Productivity impact],MATCH($H387,CopilotChanges[Change ID],0))</x:f>
        <x:v>High</x:v>
      </x:c>
      <x:c r="F387" s="19" t="str">
        <x:v>Ground assistance in proprietary systems</x:v>
      </x:c>
      <x:c r="G387" s="19" t="str">
        <x:v>Released per GA release notes; gradual tenant deployment; Web; admin deployment; exact licensing not established by this entry; account entitlement, region and rollout must be verified. No tenant access was tested.</x:v>
      </x:c>
      <x:c r="H387" s="68" t="str">
        <x:f>IFERROR(HYPERLINK("#'Change log'!A"&amp;(MATCH("COP-65D1DDDF85",CopilotChanges[Change ID],0)+10),"COP-65D1DDDF85"),"COP-65D1DDDF85")</x:f>
        <x:v>COP-65D1DDDF85</x:v>
      </x:c>
    </x:row>
    <x:row r="388" ht="110" customHeight="1">
      <x:c r="A388" s="82" t="n">
        <x:f>INDEX(CopilotChanges[Date of change / report],MATCH($H388,CopilotChanges[Change ID],0))</x:f>
        <x:v>46322</x:v>
      </x:c>
      <x:c r="B388" s="19" t="str">
        <x:v>Microsoft 365 Copilot extensibility</x:v>
      </x:c>
      <x:c r="C388" s="19" t="str">
        <x:v>Rich search entity cards</x:v>
      </x:c>
      <x:c r="D388" s="19" t="str">
        <x:v>Connector results display metadata cards.</x:v>
      </x:c>
      <x:c r="E388" s="22" t="str">
        <x:f>INDEX(CopilotChanges[Productivity impact],MATCH($H388,CopilotChanges[Change ID],0))</x:f>
        <x:v>Low</x:v>
      </x:c>
      <x:c r="F388" s="19" t="str">
        <x:v>Find the correct connected result faster</x:v>
      </x:c>
      <x:c r="G388" s="19" t="str">
        <x:v>Released per GA release notes; gradual tenant deployment; Web; exact licensing not established by this entry; account entitlement, region and rollout must be verified. No tenant access was tested.</x:v>
      </x:c>
      <x:c r="H388" s="68" t="str">
        <x:f>IFERROR(HYPERLINK("#'Change log'!A"&amp;(MATCH("COP-A3D4738653",CopilotChanges[Change ID],0)+10),"COP-A3D4738653"),"COP-A3D4738653")</x:f>
        <x:v>COP-A3D4738653</x:v>
      </x:c>
    </x:row>
    <x:row r="389" ht="110" customHeight="1">
      <x:c r="A389" s="82" t="n">
        <x:f>INDEX(CopilotChanges[Date of change / report],MATCH($H389,CopilotChanges[Change ID],0))</x:f>
        <x:v>46322</x:v>
      </x:c>
      <x:c r="B389" s="19" t="str">
        <x:v>Work IQ</x:v>
      </x:c>
      <x:c r="C389" s="19" t="str">
        <x:v>Usage-based billing</x:v>
      </x:c>
      <x:c r="D389" s="19" t="str">
        <x:v>Agent/model requests can be metered without preassigned licenses.</x:v>
      </x:c>
      <x:c r="E389" s="22" t="str">
        <x:f>INDEX(CopilotChanges[Productivity impact],MATCH($H389,CopilotChanges[Change ID],0))</x:f>
        <x:v>Medium</x:v>
      </x:c>
      <x:c r="F389" s="19" t="str">
        <x:v>Pilot integrations with usage-linked costs</x:v>
      </x:c>
      <x:c r="G389" s="19" t="str">
        <x:v>Released per GA release notes; gradual tenant deployment; Windows/Linux/Mac/Web; metered API requests without preassigned licenses per release note. Developer registration, billing setup and permissions required; rates/region not specified in this entry.</x:v>
      </x:c>
      <x:c r="H389" s="68" t="str">
        <x:f>IFERROR(HYPERLINK("#'Change log'!A"&amp;(MATCH("COP-CBC25441B5",CopilotChanges[Change ID],0)+10),"COP-CBC25441B5"),"COP-CBC25441B5")</x:f>
        <x:v>COP-CBC25441B5</x:v>
      </x:c>
    </x:row>
    <x:row r="390" ht="110" customHeight="1">
      <x:c r="A390" s="82" t="n">
        <x:f>INDEX(CopilotChanges[Date of change / report],MATCH($H390,CopilotChanges[Change ID],0))</x:f>
        <x:v>46322</x:v>
      </x:c>
      <x:c r="B390" s="19" t="str">
        <x:v>Work IQ</x:v>
      </x:c>
      <x:c r="C390" s="19" t="str">
        <x:v>Declarative-agent access</x:v>
      </x:c>
      <x:c r="D390" s="19" t="str">
        <x:v>APIs invoke first-party and tenant-defined agents.</x:v>
      </x:c>
      <x:c r="E390" s="22" t="str">
        <x:f>INDEX(CopilotChanges[Productivity impact],MATCH($H390,CopilotChanges[Change ID],0))</x:f>
        <x:v>High</x:v>
      </x:c>
      <x:c r="F390" s="19" t="str">
        <x:v>Automate specialized workflow steps</x:v>
      </x:c>
      <x:c r="G390" s="19" t="str">
        <x:v>Released per GA release notes; gradual tenant deployment; Web; developer setup; exact licensing not established by this entry; account entitlement, region and rollout must be verified. No tenant access was tested.</x:v>
      </x:c>
      <x:c r="H390" s="68" t="str">
        <x:f>IFERROR(HYPERLINK("#'Change log'!A"&amp;(MATCH("COP-220E48DD40",CopilotChanges[Change ID],0)+10),"COP-220E48DD40"),"COP-220E48DD40")</x:f>
        <x:v>COP-220E48DD40</x:v>
      </x:c>
    </x:row>
    <x:row r="391" ht="110" customHeight="1">
      <x:c r="A391" s="82" t="n">
        <x:f>INDEX(CopilotChanges[Date of change / report],MATCH($H391,CopilotChanges[Change ID],0))</x:f>
        <x:v>46322</x:v>
      </x:c>
      <x:c r="B391" s="19" t="str">
        <x:v>Copilot Notebooks / OneNote</x:v>
      </x:c>
      <x:c r="C391" s="19" t="str">
        <x:v>Android multimodal Notebook capture</x:v>
      </x:c>
      <x:c r="D391" s="19" t="str">
        <x:v>Combine audio transcription, images and typed notes.</x:v>
      </x:c>
      <x:c r="E391" s="22" t="str">
        <x:f>INDEX(CopilotChanges[Productivity impact],MATCH($H391,CopilotChanges[Change ID],0))</x:f>
        <x:v>High</x:v>
      </x:c>
      <x:c r="F391" s="19" t="str">
        <x:v>Preserve workshop discussions and whiteboards together</x:v>
      </x:c>
      <x:c r="G391" s="19" t="str">
        <x:v>Released per GA release notes; gradual tenant deployment; Android; exact licensing not established by this entry; account entitlement, region and rollout must be verified. No tenant access was tested.</x:v>
      </x:c>
      <x:c r="H391" s="68" t="str">
        <x:f>IFERROR(HYPERLINK("#'Change log'!A"&amp;(MATCH("COP-6413C99B03",CopilotChanges[Change ID],0)+10),"COP-6413C99B03"),"COP-6413C99B03")</x:f>
        <x:v>COP-6413C99B03</x:v>
      </x:c>
    </x:row>
    <x:row r="392" ht="110" customHeight="1">
      <x:c r="A392" s="82" t="n">
        <x:f>INDEX(CopilotChanges[Date of change / report],MATCH($H392,CopilotChanges[Change ID],0))</x:f>
        <x:v>46322</x:v>
      </x:c>
      <x:c r="B392" s="19" t="str">
        <x:v>Outlook</x:v>
      </x:c>
      <x:c r="C392" s="19" t="str">
        <x:v>Classic Outlook Copilot settings</x:v>
      </x:c>
      <x:c r="D392" s="19" t="str">
        <x:v>Settings accessible inside classic Outlook.</x:v>
      </x:c>
      <x:c r="E392" s="22" t="str">
        <x:f>INDEX(CopilotChanges[Productivity impact],MATCH($H392,CopilotChanges[Change ID],0))</x:f>
        <x:v>Low</x:v>
      </x:c>
      <x:c r="F392" s="19" t="str">
        <x:v>Configure assistance without switching applications</x:v>
      </x:c>
      <x:c r="G392" s="19" t="str">
        <x:v>Released per GA release notes; gradual tenant deployment; Windows; classic Outlook; exact licensing not established by this entry; account entitlement, region and rollout must be verified. No tenant access was tested.</x:v>
      </x:c>
      <x:c r="H392" s="68" t="str">
        <x:f>IFERROR(HYPERLINK("#'Change log'!A"&amp;(MATCH("COP-B0A6F57189",CopilotChanges[Change ID],0)+10),"COP-B0A6F57189"),"COP-B0A6F57189")</x:f>
        <x:v>COP-B0A6F57189</x:v>
      </x:c>
    </x:row>
    <x:row r="393" ht="110" customHeight="1">
      <x:c r="A393" s="82" t="n">
        <x:f>INDEX(CopilotChanges[Date of change / report],MATCH($H393,CopilotChanges[Change ID],0))</x:f>
        <x:v>46322</x:v>
      </x:c>
      <x:c r="B393" s="19" t="str">
        <x:v>PowerPoint</x:v>
      </x:c>
      <x:c r="C393" s="19" t="str">
        <x:v>Reference deck styling</x:v>
      </x:c>
      <x:c r="D393" s="19" t="str">
        <x:v>Apply an attached deck’s theme and styles.</x:v>
      </x:c>
      <x:c r="E393" s="22" t="str">
        <x:f>INDEX(CopilotChanges[Productivity impact],MATCH($H393,CopilotChanges[Change ID],0))</x:f>
        <x:v>High</x:v>
      </x:c>
      <x:c r="F393" s="19" t="str">
        <x:v>Reduce brand-formatting cleanup</x:v>
      </x:c>
      <x:c r="G393" s="19" t="str">
        <x:v>Released per GA release notes; gradual tenant deployment; Windows/Web; exact licensing not established by this entry; account entitlement, region and rollout must be verified. No tenant access was tested.</x:v>
      </x:c>
      <x:c r="H393" s="68" t="str">
        <x:f>IFERROR(HYPERLINK("#'Change log'!A"&amp;(MATCH("COP-B003AC79F2",CopilotChanges[Change ID],0)+10),"COP-B003AC79F2"),"COP-B003AC79F2")</x:f>
        <x:v>COP-B003AC79F2</x:v>
      </x:c>
    </x:row>
    <x:row r="394" ht="110" customHeight="1">
      <x:c r="A394" s="82" t="n">
        <x:f>INDEX(CopilotChanges[Date of change / report],MATCH($H394,CopilotChanges[Change ID],0))</x:f>
        <x:v>46322</x:v>
      </x:c>
      <x:c r="B394" s="19" t="str">
        <x:v>PowerPoint</x:v>
      </x:c>
      <x:c r="C394" s="19" t="str">
        <x:v>Image references</x:v>
      </x:c>
      <x:c r="D394" s="19" t="str">
        <x:v>Attach an image during presentation creation.</x:v>
      </x:c>
      <x:c r="E394" s="22" t="str">
        <x:f>INDEX(CopilotChanges[Productivity impact],MATCH($H394,CopilotChanges[Change ID],0))</x:f>
        <x:v>Medium</x:v>
      </x:c>
      <x:c r="F394" s="19" t="str">
        <x:v>Use visual inputs when drafting presentations</x:v>
      </x:c>
      <x:c r="G394" s="19" t="str">
        <x:v>Released per GA release notes; gradual tenant deployment; Windows/Web; exact licensing not established by this entry; account entitlement, region and rollout must be verified. No tenant access was tested.</x:v>
      </x:c>
      <x:c r="H394" s="68" t="str">
        <x:f>IFERROR(HYPERLINK("#'Change log'!A"&amp;(MATCH("COP-9430F2451F",CopilotChanges[Change ID],0)+10),"COP-9430F2451F"),"COP-9430F2451F")</x:f>
        <x:v>COP-9430F2451F</x:v>
      </x:c>
    </x:row>
    <x:row r="395" ht="110" customHeight="1">
      <x:c r="A395" s="82" t="n">
        <x:f>INDEX(CopilotChanges[Date of change / report],MATCH($H395,CopilotChanges[Change ID],0))</x:f>
        <x:v>46322</x:v>
      </x:c>
      <x:c r="B395" s="19" t="str">
        <x:v>Teams</x:v>
      </x:c>
      <x:c r="C395" s="19" t="str">
        <x:v>Queues post-call Copilot Chat</x:v>
      </x:c>
      <x:c r="D395" s="19" t="str">
        <x:v>Query and summarize recorded calls from Recap.</x:v>
      </x:c>
      <x:c r="E395" s="22" t="str">
        <x:f>INDEX(CopilotChanges[Productivity impact],MATCH($H395,CopilotChanges[Change ID],0))</x:f>
        <x:v>High</x:v>
      </x:c>
      <x:c r="F395" s="19" t="str">
        <x:v>Accelerate customer-call review and follow-up</x:v>
      </x:c>
      <x:c r="G395" s="19" t="str">
        <x:v>Released per GA release notes; gradual tenant deployment; Windows/Mac; Queues access requires Teams Phone and Teams Premium with voice enabled. Copilot access, recording/transcription and policy permissions also required. Per-tenant rollout varies.</x:v>
      </x:c>
      <x:c r="H395" s="68" t="str">
        <x:f>IFERROR(HYPERLINK("#'Change log'!A"&amp;(MATCH("COP-8FC7A62E0E",CopilotChanges[Change ID],0)+10),"COP-8FC7A62E0E"),"COP-8FC7A62E0E")</x:f>
        <x:v>COP-8FC7A62E0E</x:v>
      </x:c>
    </x:row>
    <x:row r="396" ht="110" customHeight="1">
      <x:c r="A396" s="82" t="n">
        <x:f>INDEX(CopilotChanges[Date of change / report],MATCH($H396,CopilotChanges[Change ID],0))</x:f>
        <x:v>46322</x:v>
      </x:c>
      <x:c r="B396" s="19" t="str">
        <x:v>Excel</x:v>
      </x:c>
      <x:c r="C396" s="19" t="str">
        <x:v>Skill recorder available on desktop preview and web</x:v>
      </x:c>
      <x:c r="D396" s="19" t="str">
        <x:v>Reusable workflow recording reaches Windows/Mac Insiders and general availability on web.</x:v>
      </x:c>
      <x:c r="E396" s="22" t="str">
        <x:f>INDEX(CopilotChanges[Productivity impact],MATCH($H396,CopilotChanges[Change ID],0))</x:f>
        <x:v>High</x:v>
      </x:c>
      <x:c r="F396" s="19" t="str">
        <x:v>Record a recurring workbook process once instead of repeating it.</x:v>
      </x:c>
      <x:c r="G396" s="19" t="str">
        <x:v>Insiders (Windows/Mac); GA (web); Eligible Copilot in Excel; Windows/Mac Insider channels; web GA. Verify tenant entitlement.</x:v>
      </x:c>
      <x:c r="H396" s="68" t="str">
        <x:f>IFERROR(HYPERLINK("#'Change log'!A"&amp;(MATCH("COP-E738F1973B",CopilotChanges[Change ID],0)+10),"COP-E738F1973B"),"COP-E738F1973B")</x:f>
        <x:v>COP-E738F1973B</x:v>
      </x:c>
    </x:row>
    <x:row r="397" ht="110" customHeight="1">
      <x:c r="A397" s="82" t="n">
        <x:f>INDEX(CopilotChanges[Date of change / report],MATCH($H397,CopilotChanges[Change ID],0))</x:f>
        <x:v>46322</x:v>
      </x:c>
      <x:c r="B397" s="19" t="str">
        <x:v>Excel</x:v>
      </x:c>
      <x:c r="C397" s="19" t="str">
        <x:v>Get Data skill available on web</x:v>
      </x:c>
      <x:c r="D397" s="19" t="str">
        <x:v>Conversational Power Query data import and preparation now available on web.</x:v>
      </x:c>
      <x:c r="E397" s="22" t="str">
        <x:f>INDEX(CopilotChanges[Productivity impact],MATCH($H397,CopilotChanges[Change ID],0))</x:f>
        <x:v>High</x:v>
      </x:c>
      <x:c r="F397" s="19" t="str">
        <x:v>Prepare refreshable datasets without manually designing every query step.</x:v>
      </x:c>
      <x:c r="G397" s="19" t="str">
        <x:v>Available (web); GA label not explicit in recap; Eligible Copilot in Excel on web; data-source authentication may be required.</x:v>
      </x:c>
      <x:c r="H397" s="68" t="str">
        <x:f>IFERROR(HYPERLINK("#'Change log'!A"&amp;(MATCH("COP-A1AD27895A",CopilotChanges[Change ID],0)+10),"COP-A1AD27895A"),"COP-A1AD27895A")</x:f>
        <x:v>COP-A1AD27895A</x:v>
      </x:c>
    </x:row>
    <x:row r="398" ht="110" customHeight="1">
      <x:c r="A398" s="83" t="n">
        <x:f>INDEX(CopilotChanges[Date of change / report],MATCH($H398,CopilotChanges[Change ID],0))</x:f>
        <x:v>46321</x:v>
      </x:c>
      <x:c r="B398" s="19" t="str">
        <x:v>Frontier / Microsoft 365 administration</x:v>
      </x:c>
      <x:c r="C398" s="19" t="str">
        <x:v>Frontier expands beyond Copilot previews</x:v>
      </x:c>
      <x:c r="D398" s="19" t="str">
        <x:v>Planned unified previews add new Outlook for Windows, OneDrive, SharePoint and Teams.</x:v>
      </x:c>
      <x:c r="E398" s="22" t="str">
        <x:f>INDEX(CopilotChanges[Productivity impact],MATCH($H398,CopilotChanges[Change ID],0))</x:f>
        <x:v>Medium</x:v>
      </x:c>
      <x:c r="F398" s="19" t="str">
        <x:v>Use one pilot enrollment process to prepare teams for upcoming changes.</x:v>
      </x:c>
      <x:c r="G398" s="19" t="str">
        <x:v>Planned program expansion; Optional admin-selected users/groups. Product licenses required; Copilot license not required merely to enroll. Existing Copilot Frontier users need no re-enrollment; Targeted release users are not automatically enrolled.</x:v>
      </x:c>
      <x:c r="H398" s="68" t="str">
        <x:f>IFERROR(HYPERLINK("#'Change log'!A"&amp;(MATCH("COP-E6C85FBB18",CopilotChanges[Change ID],0)+10),"COP-E6C85FBB18"),"COP-E6C85FBB18")</x:f>
        <x:v>COP-E6C85FBB18</x:v>
      </x:c>
    </x:row>
    <x:row r="399" ht="110" customHeight="1">
      <x:c r="A399" s="83" t="n">
        <x:f>INDEX(CopilotChanges[Date of change / report],MATCH($H399,CopilotChanges[Change ID],0))</x:f>
        <x:v>46320</x:v>
      </x:c>
      <x:c r="B399" s="19" t="str">
        <x:v>Copilot Cowork</x:v>
      </x:c>
      <x:c r="C399" s="19" t="str">
        <x:v>Power Platform Admin plugin preview</x:v>
      </x:c>
      <x:c r="D399" s="19" t="str">
        <x:v>Ask tenant-governance questions and turn findings into Cowork reports or follow-up drafts.</x:v>
      </x:c>
      <x:c r="E399" s="22" t="str">
        <x:f>INDEX(CopilotChanges[Productivity impact],MATCH($H399,CopilotChanges[Change ID],0))</x:f>
        <x:v>Medium</x:v>
      </x:c>
      <x:c r="F399" s="19" t="str">
        <x:v>Investigate ownership, usage and capacity without manually joining several exports.</x:v>
      </x:c>
      <x:c r="G399" s="19" t="str">
        <x:v>Preview; Admin-installed plugin; separate Cowork access/spending policy; Power Platform for Admins V2 connection. Data account requires Global, Power Platform or Dynamics 365 Administrator role. Questions consume Copilot Credits.</x:v>
      </x:c>
      <x:c r="H399" s="68" t="str">
        <x:f>IFERROR(HYPERLINK("#'Change log'!A"&amp;(MATCH("COP-F09AF5703B",CopilotChanges[Change ID],0)+10),"COP-F09AF5703B"),"COP-F09AF5703B")</x:f>
        <x:v>COP-F09AF5703B</x:v>
      </x:c>
    </x:row>
    <x:row r="400" ht="110" customHeight="1">
      <x:c r="A400" s="83" t="n">
        <x:f>INDEX(CopilotChanges[Date of change / report],MATCH($H400,CopilotChanges[Change ID],0))</x:f>
        <x:v>46318</x:v>
      </x:c>
      <x:c r="B400" s="19" t="str">
        <x:v>Work IQ / Power Apps</x:v>
      </x:c>
      <x:c r="C400" s="19" t="str">
        <x:v>Agentic business-skill authoring</x:v>
      </x:c>
      <x:c r="D400" s="19" t="str">
        <x:v>Business-skill authoring adds AI-assisted editing, version history and security improvements.</x:v>
      </x:c>
      <x:c r="E400" s="22" t="str">
        <x:f>INDEX(CopilotChanges[Productivity impact],MATCH($H400,CopilotChanges[Change ID],0))</x:f>
        <x:v>Medium</x:v>
      </x:c>
      <x:c r="F400" s="19" t="str">
        <x:v>Codify repeatable business procedures for agents with less manual setup.</x:v>
      </x:c>
      <x:c r="G400" s="19" t="str">
        <x:v>Public preview; Work IQ-enabled Dataverse environment; skill permissions and supported agent/MCP access; licensing requirements apply.</x:v>
      </x:c>
      <x:c r="H400" s="68" t="str">
        <x:f>IFERROR(HYPERLINK("#'Change log'!A"&amp;(MATCH("COP-73905793F5",CopilotChanges[Change ID],0)+10),"COP-73905793F5"),"COP-73905793F5")</x:f>
        <x:v>COP-73905793F5</x:v>
      </x:c>
    </x:row>
    <x:row r="401" ht="110" customHeight="1">
      <x:c r="A401" s="83" t="n">
        <x:f>INDEX(CopilotChanges[Date of change / report],MATCH($H401,CopilotChanges[Change ID],0))</x:f>
        <x:v>46318</x:v>
      </x:c>
      <x:c r="B401" s="19" t="str">
        <x:v>Copilot Studio / Work IQ</x:v>
      </x:c>
      <x:c r="C401" s="19" t="str">
        <x:v>Business-app context in Work IQ for Studio</x:v>
      </x:c>
      <x:c r="D401" s="19" t="str">
        <x:v>Studio agents gain Dynamics 365 and Power Apps business context through Work IQ.</x:v>
      </x:c>
      <x:c r="E401" s="22" t="str">
        <x:f>INDEX(CopilotChanges[Productivity impact],MATCH($H401,CopilotChanges[Change ID],0))</x:f>
        <x:v>High</x:v>
      </x:c>
      <x:c r="F401" s="19" t="str">
        <x:v>Ground operational agents in business records alongside work context.</x:v>
      </x:c>
      <x:c r="G401" s="19" t="str">
        <x:v>Business apps workload public preview; GitHub Copilot harness; enable preview workloads and Business apps; source permissions/admin setup; Copilot Credits. Work IQ itself is GA in Studio.</x:v>
      </x:c>
      <x:c r="H401" s="68" t="str">
        <x:f>IFERROR(HYPERLINK("#'Change log'!A"&amp;(MATCH("COP-523C20EE14",CopilotChanges[Change ID],0)+10),"COP-523C20EE14"),"COP-523C20EE14")</x:f>
        <x:v>COP-523C20EE14</x:v>
      </x:c>
    </x:row>
    <x:row r="402" ht="110" customHeight="1">
      <x:c r="A402" s="83" t="n">
        <x:f>INDEX(CopilotChanges[Date of change / report],MATCH($H402,CopilotChanges[Change ID],0))</x:f>
        <x:v>46318</x:v>
      </x:c>
      <x:c r="B402" s="19" t="str">
        <x:v>Copilot Cowork</x:v>
      </x:c>
      <x:c r="C402" s="19" t="str">
        <x:v>Business Apps plugin public preview</x:v>
      </x:c>
      <x:c r="D402" s="19" t="str">
        <x:v>Cowork can use business context and permitted actions across Dynamics 365 and Power Apps.</x:v>
      </x:c>
      <x:c r="E402" s="22" t="str">
        <x:f>INDEX(CopilotChanges[Productivity impact],MATCH($H402,CopilotChanges[Change ID],0))</x:f>
        <x:v>High</x:v>
      </x:c>
      <x:c r="F402" s="19" t="str">
        <x:v>Investigate customer context and prepare operational updates in one workflow.</x:v>
      </x:c>
      <x:c r="G402" s="19" t="str">
        <x:v>Public preview; Admin installs Business apps (preview); user connects account; Cowork and source-app licenses, permissions and policies apply.</x:v>
      </x:c>
      <x:c r="H402" s="68" t="str">
        <x:f>IFERROR(HYPERLINK("#'Change log'!A"&amp;(MATCH("COP-A12D166F0A",CopilotChanges[Change ID],0)+10),"COP-A12D166F0A"),"COP-A12D166F0A")</x:f>
        <x:v>COP-A12D166F0A</x:v>
      </x:c>
    </x:row>
    <x:row r="403" ht="110" customHeight="1">
      <x:c r="A403" s="82" t="n">
        <x:f>INDEX(CopilotChanges[Date of change / report],MATCH($H403,CopilotChanges[Change ID],0))</x:f>
        <x:v>46323</x:v>
      </x:c>
      <x:c r="B403" s="19" t="str">
        <x:v>Copilot Cowork</x:v>
      </x:c>
      <x:c r="C403" s="19" t="str">
        <x:v>Dataverse plugin in Cowork</x:v>
      </x:c>
      <x:c r="D403" s="19" t="str">
        <x:v>Connect an environment to model tables, manipulate data and build governed apps.</x:v>
      </x:c>
      <x:c r="E403" s="22" t="str">
        <x:f>INDEX(CopilotChanges[Productivity impact],MATCH($H403,CopilotChanges[Change ID],0))</x:f>
        <x:v>High</x:v>
      </x:c>
      <x:c r="F403" s="19" t="str">
        <x:v>Prototype a business app using existing governed records rather than separate mock data.</x:v>
      </x:c>
      <x:c r="G403" s="19" t="str">
        <x:v>Available in Cowork; app building Frontier; runtime preview; Cowork access; Dataverse environment and user security roles. App building requires Frontier enrollment; published apps use Copilot Managed Runtime (preview).</x:v>
      </x:c>
      <x:c r="H403" s="68" t="str">
        <x:f>IFERROR(HYPERLINK("#'Change log'!A"&amp;(MATCH("COP-A5F53BB885",CopilotChanges[Change ID],0)+10),"COP-A5F53BB885"),"COP-A5F53BB885")</x:f>
        <x:v>COP-A5F53BB885</x:v>
      </x:c>
    </x:row>
    <x:row r="404" ht="110" customHeight="1">
      <x:c r="A404" s="82" t="n">
        <x:f>INDEX(CopilotChanges[Date of change / report],MATCH($H404,CopilotChanges[Change ID],0))</x:f>
        <x:v>46321</x:v>
      </x:c>
      <x:c r="B404" s="19" t="str">
        <x:v>Copilot extensibility / Dataverse MCP</x:v>
      </x:c>
      <x:c r="C404" s="19" t="str">
        <x:v>Dataverse MCP custom API invocation</x:v>
      </x:c>
      <x:c r="D404" s="19" t="str">
        <x:v>Agents discover and invoke existing custom APIs via search, describe and invoke_api.</x:v>
      </x:c>
      <x:c r="E404" s="22" t="str">
        <x:f>INDEX(CopilotChanges[Productivity impact],MATCH($H404,CopilotChanges[Change ID],0))</x:f>
        <x:v>Medium</x:v>
      </x:c>
      <x:c r="F404" s="19" t="str">
        <x:v>Reuse a validated transactional business operation instead of assembling many separate writes.</x:v>
      </x:c>
      <x:c r="G404" s="19" t="str">
        <x:v>Available per announcement; GA label not explicit; Configured Dataverse MCP client and published custom API; existing Dataverse permissions and platform prerequisites. Legacy Custom Actions unsupported.</x:v>
      </x:c>
      <x:c r="H404" s="68" t="str">
        <x:f>IFERROR(HYPERLINK("#'Change log'!A"&amp;(MATCH("COP-88AB793306",CopilotChanges[Change ID],0)+10),"COP-88AB793306"),"COP-88AB793306")</x:f>
        <x:v>COP-88AB793306</x:v>
      </x:c>
    </x:row>
  </x:sheetData>
  <x:mergeCells>
    <x:mergeCell ref="A2:H2"/>
    <x:mergeCell ref="A3:H3"/>
    <x:mergeCell ref="E5:H6"/>
    <x:mergeCell ref="E8:H8"/>
    <x:mergeCell ref="E9:H10"/>
    <x:mergeCell ref="E11:H12"/>
    <x:mergeCell ref="E13:H14"/>
    <x:mergeCell ref="E15:H15"/>
    <x:mergeCell ref="A17:H17"/>
  </x:mergeCells>
  <x:conditionalFormatting sqref="E19:E382">
    <x:cfRule type="containsText" dxfId="6" priority="1" operator="containsText" text="High"/>
    <x:cfRule type="containsText" dxfId="7" priority="2" operator="containsText" text="Medium"/>
    <x:cfRule type="containsText" dxfId="8" priority="3" operator="containsText" text="Low"/>
  </x:conditionalFormatting>
  <x:conditionalFormatting sqref="E383:E404">
    <x:cfRule type="containsText" dxfId="12" priority="4" operator="containsText" text="High"/>
    <x:cfRule type="containsText" dxfId="13" priority="5" operator="containsText" text="Medium"/>
    <x:cfRule type="containsText" dxfId="14" priority="6" operator="containsText" text="Low"/>
  </x:conditionalFormatting>
  <x:pageMargins left="0.7" right="0.7" top="0.75" bottom="0.75" header="0.3" footer="0.3"/>
  <x:tableParts count="1">
    <x:tablePart xmlns:r="http://schemas.openxmlformats.org/officeDocument/2006/relationships" r:id="Rf60861be87814b64"/>
  </x:tableParts>
</x:worksheet>
</file>

<file path=xl/worksheets/sheet2.xml><?xml version="1.0" encoding="utf-8"?>
<x:worksheet xmlns:x="http://schemas.openxmlformats.org/spreadsheetml/2006/main">
  <x:sheetPr>
    <x:tabColor rgb="FF17324D"/>
  </x:sheetPr>
  <x:sheetViews>
    <x:sheetView showGridLines="0" workbookViewId="0">
      <x:pane xSplit="1" ySplit="10" topLeftCell="B11" activePane="bottomRight" state="frozen"/>
    </x:sheetView>
  </x:sheetViews>
  <x:sheetFormatPr defaultRowHeight="15"/>
  <x:cols>
    <x:col min="1" max="1" width="17" hidden="0" customWidth="1"/>
    <x:col min="2" max="2" width="28" hidden="0" customWidth="1"/>
    <x:col min="3" max="3" width="27" hidden="0" customWidth="1"/>
    <x:col min="4" max="4" width="39" hidden="0" customWidth="1"/>
    <x:col min="5" max="5" width="70" hidden="0" customWidth="1"/>
    <x:col min="6" max="6" width="17" hidden="0" customWidth="1"/>
    <x:col min="7" max="7" width="65" hidden="0" customWidth="1"/>
    <x:col min="8" max="8" width="56" hidden="0" customWidth="1"/>
    <x:col min="9" max="9" width="45" hidden="0" customWidth="1"/>
    <x:col min="10" max="10" width="64" hidden="0" customWidth="1"/>
    <x:col min="11" max="11" width="41" hidden="0" customWidth="1"/>
    <x:col min="12" max="12" width="47" hidden="0" customWidth="1"/>
    <x:col min="13" max="13" width="43" hidden="0" customWidth="1"/>
    <x:col min="14" max="14" width="18" hidden="0" customWidth="1"/>
    <x:col min="15" max="15" width="17" hidden="0" customWidth="1"/>
    <x:col min="16" max="16" width="21" hidden="0" customWidth="1"/>
    <x:col min="17" max="17" width="27" hidden="0" customWidth="1"/>
    <x:col min="18" max="18" width="62" hidden="0" customWidth="1"/>
    <x:col min="19" max="19" width="21" hidden="0" customWidth="1"/>
    <x:col min="20" max="20" width="19" hidden="0" customWidth="1"/>
    <x:col min="21" max="21" width="18" hidden="0" customWidth="1"/>
  </x:cols>
  <x:sheetData>
    <x:row r="1" ht="9" customHeight="1">
      <x:c r="A1" s="2"/>
      <x:c r="B1" s="2"/>
      <x:c r="C1" s="2"/>
      <x:c r="D1" s="2"/>
      <x:c r="E1" s="2"/>
      <x:c r="F1" s="2"/>
      <x:c r="G1" s="2"/>
      <x:c r="H1" s="2"/>
      <x:c r="I1" s="2"/>
      <x:c r="J1" s="2"/>
      <x:c r="K1" s="2"/>
      <x:c r="L1" s="2"/>
      <x:c r="M1" s="2"/>
      <x:c r="N1" s="2"/>
      <x:c r="O1" s="2"/>
      <x:c r="P1" s="2"/>
      <x:c r="Q1" s="2"/>
      <x:c r="R1" s="2"/>
      <x:c r="S1" s="2"/>
      <x:c r="T1" s="2"/>
      <x:c r="U1" s="2"/>
    </x:row>
    <x:row r="2" ht="29" customHeight="1">
      <x:c r="A2" s="3" t="str">
        <x:v>Microsoft Copilot change tracker</x:v>
      </x:c>
      <x:c r="B2" s="3"/>
      <x:c r="C2" s="3"/>
      <x:c r="D2" s="3"/>
      <x:c r="E2" s="3"/>
      <x:c r="F2" s="3"/>
      <x:c r="G2" s="3"/>
      <x:c r="H2" s="3"/>
      <x:c r="I2" s="3"/>
      <x:c r="J2" s="3"/>
      <x:c r="K2" s="3"/>
      <x:c r="L2" s="3"/>
      <x:c r="M2" s="3"/>
      <x:c r="N2" s="3"/>
      <x:c r="O2" s="3"/>
      <x:c r="P2" s="3"/>
      <x:c r="Q2" s="3"/>
      <x:c r="R2" s="3"/>
      <x:c r="S2" s="3"/>
      <x:c r="T2" s="3"/>
      <x:c r="U2" s="2"/>
    </x:row>
    <x:row r="3" ht="22" customHeight="1">
      <x:c r="A3" s="4" t="str">
        <x:v>16 April to 30 October 2026. Public Microsoft announcements and release notes.</x:v>
      </x:c>
      <x:c r="B3" s="4"/>
      <x:c r="C3" s="4"/>
      <x:c r="D3" s="4"/>
      <x:c r="E3" s="4"/>
      <x:c r="F3" s="4"/>
      <x:c r="G3" s="4"/>
      <x:c r="H3" s="4"/>
      <x:c r="I3" s="4"/>
      <x:c r="J3" s="4"/>
      <x:c r="K3" s="4"/>
      <x:c r="L3" s="4"/>
      <x:c r="M3" s="4"/>
      <x:c r="N3" s="4"/>
      <x:c r="O3" s="4"/>
      <x:c r="P3" s="4"/>
      <x:c r="Q3" s="4"/>
      <x:c r="R3" s="4"/>
      <x:c r="S3" s="4"/>
      <x:c r="T3" s="4"/>
      <x:c r="U3" s="2"/>
    </x:row>
    <x:row r="4" ht="7" customHeight="1">
      <x:c r="A4" s="5"/>
      <x:c r="B4" s="5"/>
      <x:c r="C4" s="5"/>
      <x:c r="D4" s="5"/>
      <x:c r="E4" s="5"/>
      <x:c r="F4" s="5"/>
      <x:c r="G4" s="5"/>
      <x:c r="H4" s="5"/>
      <x:c r="I4" s="5"/>
      <x:c r="J4" s="5"/>
      <x:c r="K4" s="5"/>
      <x:c r="L4" s="5"/>
      <x:c r="M4" s="5"/>
      <x:c r="N4" s="5"/>
      <x:c r="O4" s="5"/>
      <x:c r="P4" s="5"/>
      <x:c r="Q4" s="5"/>
      <x:c r="R4" s="5"/>
      <x:c r="S4" s="5"/>
      <x:c r="T4" s="5"/>
      <x:c r="U4" s="2"/>
    </x:row>
    <x:row r="5">
      <x:c r="A5" s="4" t="str">
        <x:v>Recorded changes</x:v>
      </x:c>
      <x:c r="B5" s="4" t="str">
        <x:v>High impact</x:v>
      </x:c>
      <x:c r="C5" s="4" t="str">
        <x:v>Medium impact</x:v>
      </x:c>
      <x:c r="D5" s="4" t="str">
        <x:v>Low impact</x:v>
      </x:c>
      <x:c r="E5" s="2"/>
      <x:c r="F5" s="2"/>
      <x:c r="G5" s="2"/>
      <x:c r="H5" s="2"/>
      <x:c r="I5" s="2"/>
      <x:c r="J5" s="2"/>
      <x:c r="K5" s="2"/>
      <x:c r="L5" s="2"/>
      <x:c r="M5" s="2"/>
      <x:c r="N5" s="2"/>
      <x:c r="O5" s="2"/>
      <x:c r="P5" s="2"/>
      <x:c r="Q5" s="2"/>
      <x:c r="R5" s="2"/>
      <x:c r="S5" s="2"/>
      <x:c r="T5" s="2"/>
      <x:c r="U5" s="2"/>
    </x:row>
    <x:row r="6" ht="29" customHeight="1">
      <x:c r="A6" s="3" t="n">
        <x:f>COUNTA(CopilotChanges[Change ID])</x:f>
        <x:v>386</x:v>
      </x:c>
      <x:c r="B6" s="3" t="n">
        <x:f>COUNTIFS(CopilotChanges[Productivity impact],"High")</x:f>
        <x:v>133</x:v>
      </x:c>
      <x:c r="C6" s="3" t="n">
        <x:f>COUNTIFS(CopilotChanges[Productivity impact],"Medium")</x:f>
        <x:v>216</x:v>
      </x:c>
      <x:c r="D6" s="3" t="n">
        <x:f>COUNTIFS(CopilotChanges[Productivity impact],"Low")</x:f>
        <x:v>37</x:v>
      </x:c>
      <x:c r="E6" s="2"/>
      <x:c r="F6" s="2"/>
      <x:c r="G6" s="2"/>
      <x:c r="H6" s="2"/>
      <x:c r="I6" s="2"/>
      <x:c r="J6" s="2"/>
      <x:c r="K6" s="2"/>
      <x:c r="L6" s="2"/>
      <x:c r="M6" s="2"/>
      <x:c r="N6" s="2"/>
      <x:c r="O6" s="2"/>
      <x:c r="P6" s="2"/>
      <x:c r="Q6" s="2"/>
      <x:c r="R6" s="2"/>
      <x:c r="S6" s="2"/>
      <x:c r="T6" s="2"/>
      <x:c r="U6" s="2"/>
    </x:row>
    <x:row r="7" ht="7" customHeight="1">
      <x:c r="A7" s="2"/>
      <x:c r="B7" s="2"/>
      <x:c r="C7" s="2"/>
      <x:c r="D7" s="2"/>
      <x:c r="E7" s="2"/>
      <x:c r="F7" s="2"/>
      <x:c r="G7" s="2"/>
      <x:c r="H7" s="2"/>
      <x:c r="I7" s="2"/>
      <x:c r="J7" s="2"/>
      <x:c r="K7" s="2"/>
      <x:c r="L7" s="2"/>
      <x:c r="M7" s="2"/>
      <x:c r="N7" s="2"/>
      <x:c r="O7" s="2"/>
      <x:c r="P7" s="2"/>
      <x:c r="Q7" s="2"/>
      <x:c r="R7" s="2"/>
      <x:c r="S7" s="2"/>
      <x:c r="T7" s="2"/>
      <x:c r="U7" s="2"/>
    </x:row>
    <x:row r="8" ht="22" customHeight="1">
      <x:c r="A8" s="6" t="str">
        <x:v>Report dates are not exact launch dates unless stated. Impact is a judgment of likely usefulness, not measured time saved.</x:v>
      </x:c>
      <x:c r="B8" s="6"/>
      <x:c r="C8" s="6"/>
      <x:c r="D8" s="6"/>
      <x:c r="E8" s="6"/>
      <x:c r="F8" s="6"/>
      <x:c r="G8" s="6"/>
      <x:c r="H8" s="6"/>
      <x:c r="I8" s="6"/>
      <x:c r="J8" s="6"/>
      <x:c r="K8" s="6"/>
      <x:c r="L8" s="6"/>
      <x:c r="M8" s="6"/>
      <x:c r="N8" s="6"/>
      <x:c r="O8" s="6"/>
      <x:c r="P8" s="6"/>
      <x:c r="Q8" s="6"/>
      <x:c r="R8" s="6"/>
      <x:c r="S8" s="6"/>
      <x:c r="T8" s="6"/>
      <x:c r="U8" s="2"/>
    </x:row>
    <x:row r="9" ht="9" customHeight="1">
      <x:c r="A9" s="2"/>
      <x:c r="B9" s="2"/>
      <x:c r="C9" s="2"/>
      <x:c r="D9" s="2"/>
      <x:c r="E9" s="2"/>
      <x:c r="F9" s="2"/>
      <x:c r="G9" s="2"/>
      <x:c r="H9" s="2"/>
      <x:c r="I9" s="2"/>
      <x:c r="J9" s="2"/>
      <x:c r="K9" s="2"/>
      <x:c r="L9" s="2"/>
      <x:c r="M9" s="2"/>
      <x:c r="N9" s="2"/>
      <x:c r="O9" s="2"/>
      <x:c r="P9" s="2"/>
      <x:c r="Q9" s="2"/>
      <x:c r="R9" s="2"/>
      <x:c r="S9" s="2"/>
      <x:c r="T9" s="2"/>
      <x:c r="U9" s="2"/>
    </x:row>
    <x:row r="10" ht="45" customHeight="1">
      <x:c r="A10" s="15" t="str">
        <x:v>Date of change / report</x:v>
      </x:c>
      <x:c r="B10" s="16" t="str">
        <x:v>Date basis / precision</x:v>
      </x:c>
      <x:c r="C10" s="16" t="str">
        <x:v>Product / area</x:v>
      </x:c>
      <x:c r="D10" s="16" t="str">
        <x:v>Feature</x:v>
      </x:c>
      <x:c r="E10" s="16" t="str">
        <x:v>What changed</x:v>
      </x:c>
      <x:c r="F10" s="16" t="str">
        <x:v>Productivity impact</x:v>
      </x:c>
      <x:c r="G10" s="16" t="str">
        <x:v>Practical work benefit / example</x:v>
      </x:c>
      <x:c r="H10" s="16" t="str">
        <x:v>Why this rating</x:v>
      </x:c>
      <x:c r="I10" s="16" t="str">
        <x:v>Availability / status</x:v>
      </x:c>
      <x:c r="J10" s="16" t="str">
        <x:v>License, platform and other caveats</x:v>
      </x:c>
      <x:c r="K10" s="16" t="str">
        <x:v>Release / reporting window</x:v>
      </x:c>
      <x:c r="L10" s="16" t="str">
        <x:v>Primary Microsoft source</x:v>
      </x:c>
      <x:c r="M10" s="16" t="str">
        <x:v>Additional Microsoft source</x:v>
      </x:c>
      <x:c r="N10" s="16" t="str">
        <x:v>Source publication date</x:v>
      </x:c>
      <x:c r="O10" s="16" t="str">
        <x:v>Date checked</x:v>
      </x:c>
      <x:c r="P10" s="16" t="str">
        <x:v>Change ID</x:v>
      </x:c>
      <x:c r="Q10" s="16" t="str">
        <x:v>Change type</x:v>
      </x:c>
      <x:c r="R10" s="16" t="str">
        <x:v>Evidence and date notes</x:v>
      </x:c>
      <x:c r="S10" s="16" t="str">
        <x:v>Related change ID</x:v>
      </x:c>
      <x:c r="T10" s="16" t="str">
        <x:v>Roadmap ID</x:v>
      </x:c>
      <x:c r="U10" s="17" t="str">
        <x:v>Announcement date</x:v>
      </x:c>
    </x:row>
    <x:row r="11" ht="94" customHeight="1">
      <x:c r="A11" s="78" t="d">
        <x:v>2026-10-22T00:00:00.000Z</x:v>
      </x:c>
      <x:c r="B11" s="19" t="str">
        <x:v>Source announcement date. Exact publication day; rollout timing qualified separately.</x:v>
      </x:c>
      <x:c r="C11" s="19" t="str">
        <x:v>AI Builder / Copilot Credits</x:v>
      </x:c>
      <x:c r="D11" s="19" t="str">
        <x:v>AI Builder credit retirement reminder</x:v>
      </x:c>
      <x:c r="E11" s="19" t="str">
        <x:v>Retiring add-ons and seeded credits transition future usage to Copilot Credits.</x:v>
      </x:c>
      <x:c r="F11" s="23" t="str">
        <x:v>Medium</x:v>
      </x:c>
      <x:c r="G11" s="19" t="str">
        <x:v>Prevent credit-dependent automations from losing capacity.</x:v>
      </x:c>
      <x:c r="H11" s="19" t="str">
        <x:v>Helps preserve existing workflow continuity.</x:v>
      </x:c>
      <x:c r="I11" s="19" t="str">
        <x:v>Planned retirement / billing transition</x:v>
      </x:c>
      <x:c r="J11" s="19" t="str">
        <x:v>Existing credits survive through contract term; disable add-on auto-renew before renewal. No automatic credit conversion. Features continue; exhausted credits can block runs.</x:v>
      </x:c>
      <x:c r="K11" s="19" t="str">
        <x:v>November 1, 2026; existing entitlements through contract expiry</x:v>
      </x:c>
      <x:c r="L11" s="25" t="str">
        <x:f>IFERROR(HYPERLINK("https://learn.microsoft.com/en-us/partner-center/announcements/2026-october","October 2026 Partner Center announcements"),"October 2026 Partner Center announcements")</x:f>
        <x:v>October 2026 Partner Center announcements</x:v>
      </x:c>
      <x:c r="M11" s="25" t="str">
        <x:f>IFERROR(HYPERLINK("https://learn.microsoft.com/en-us/ai-builder/endofaibcredits","Supporting Microsoft documentation"),"Supporting Microsoft documentation")</x:f>
        <x:v>Supporting Microsoft documentation</x:v>
      </x:c>
      <x:c r="N11" s="79" t="d">
        <x:v>2026-10-22T00:00:00.000Z</x:v>
      </x:c>
      <x:c r="O11" s="79" t="d">
        <x:v>2026-10-23T00:00:00.000Z</x:v>
      </x:c>
      <x:c r="P11" s="24" t="str">
        <x:v>COP-639CA36E95</x:v>
      </x:c>
      <x:c r="Q11" s="19" t="str">
        <x:v>Planned retirement / billing transition</x:v>
      </x:c>
      <x:c r="R11" s="19" t="str">
        <x:v>October 22 reminder is not a new November 2026 launch. Supporting calendar distinguishes November 2025 end of sales for new buyers from November 2026 retirement. Seeded-credit details come from the linked reference.</x:v>
      </x:c>
      <x:c r="S11" s="19"/>
      <x:c r="T11" s="19"/>
      <x:c r="U11" s="79" t="d">
        <x:v>2026-10-22T00:00:00.000Z</x:v>
      </x:c>
    </x:row>
    <x:row r="12" ht="94" customHeight="1">
      <x:c r="A12" s="78" t="d">
        <x:v>2026-10-22T00:00:00.000Z</x:v>
      </x:c>
      <x:c r="B12" s="19" t="str">
        <x:v>Source announcement date. Exact publication day; rollout timing qualified separately.</x:v>
      </x:c>
      <x:c r="C12" s="19" t="str">
        <x:v>Microsoft 365 Insights Agent</x:v>
      </x:c>
      <x:c r="D12" s="19" t="str">
        <x:v>Insights Agent V2 feedback preview</x:v>
      </x:c>
      <x:c r="E12" s="19" t="str">
        <x:v>Agent owners query submitted thumbs ratings, verbatim comments and recurring feedback themes inside Copilot Chat.</x:v>
      </x:c>
      <x:c r="F12" s="23" t="str">
        <x:v>Medium</x:v>
      </x:c>
      <x:c r="G12" s="19" t="str">
        <x:v>Identify recurring complaints before revising an agent.</x:v>
      </x:c>
      <x:c r="H12" s="19" t="str">
        <x:v>Useful targeted improvement evidence for agent owners.</x:v>
      </x:c>
      <x:c r="I12" s="19" t="str">
        <x:v>Frontier preview</x:v>
      </x:c>
      <x:c r="J12" s="19" t="str">
        <x:v>Frontier eligibility; administrator enables feedback sharing for owned agents (all/selected/none). Region/price not specified.</x:v>
      </x:c>
      <x:c r="K12" s="19" t="str">
        <x:v>Early-access Frontier preview</x:v>
      </x:c>
      <x:c r="L12" s="25" t="str">
        <x:f>IFERROR(HYPERLINK("https://techcommunity.microsoft.com/blog/microsoft-copilot-blog/explore-user-feedback-with-microsoft-365-insights-agent/4565981","Explore user feedback with Microsoft 365 Insights Agent"),"Explore user feedback with Microsoft 365 Insights Agent")</x:f>
        <x:v>Explore user feedback with Microsoft 365 Insights Agent</x:v>
      </x:c>
      <x:c r="M12" s="25" t="str">
        <x:f>IFERROR(HYPERLINK("https://learn.microsoft.com/en-us/microsoft-365/admin/manage/agent-settings?view=o365-worldwide#agent-feedback-sharing","Supporting Microsoft documentation"),"Supporting Microsoft documentation")</x:f>
        <x:v>Supporting Microsoft documentation</x:v>
      </x:c>
      <x:c r="N12" s="79" t="d">
        <x:v>2026-10-22T00:00:00.000Z</x:v>
      </x:c>
      <x:c r="O12" s="79" t="d">
        <x:v>2026-10-23T00:00:00.000Z</x:v>
      </x:c>
      <x:c r="P12" s="24" t="str">
        <x:v>COP-8B8089A11F</x:v>
      </x:c>
      <x:c r="Q12" s="19" t="str">
        <x:v>Frontier preview</x:v>
      </x:c>
      <x:c r="R12" s="19" t="str">
        <x:v>Separate V2 feedback preview, not a GA upgrade of earlier usage analytics. Sharing control does not change who can submit feedback or agent data access.</x:v>
      </x:c>
      <x:c r="S12" s="19"/>
      <x:c r="T12" s="19"/>
      <x:c r="U12" s="79" t="d">
        <x:v>2026-10-22T00:00:00.000Z</x:v>
      </x:c>
    </x:row>
    <x:row r="13" ht="94" customHeight="1">
      <x:c r="A13" s="78" t="d">
        <x:v>2026-10-21T00:00:00.000Z</x:v>
      </x:c>
      <x:c r="B13" s="19" t="str">
        <x:v>Stated rollout-start day (Frontier preview); tenant completion not stated.</x:v>
      </x:c>
      <x:c r="C13" s="19" t="str">
        <x:v>Copilot Code</x:v>
      </x:c>
      <x:c r="D13" s="19" t="str">
        <x:v>Copilot Code begins Frontier rollout</x:v>
      </x:c>
      <x:c r="E13" s="19" t="str">
        <x:v>Build applications from work context, iterate in preview or code, publish to Copilot Managed Runtime, and move projects to GitHub draft pull requests.</x:v>
      </x:c>
      <x:c r="F13" s="23" t="str">
        <x:v>High</x:v>
      </x:c>
      <x:c r="G13" s="19" t="str">
        <x:v>Prototype an internal tool from project context.</x:v>
      </x:c>
      <x:c r="H13" s="19" t="str">
        <x:v>Extends work from documents into functioning software.</x:v>
      </x:c>
      <x:c r="I13" s="19" t="str">
        <x:v>Frontier preview rollout</x:v>
      </x:c>
      <x:c r="J13" s="19" t="str">
        <x:v>M365 Copilot, enabled tenant and spending policy. Windows/web; Mac documentation conflicts. No mobile. Local execution and optional GitHub integration are admin-controlled.</x:v>
      </x:c>
      <x:c r="K13" s="19" t="str">
        <x:v>Beginning rollout today per official blog</x:v>
      </x:c>
      <x:c r="L13" s="25" t="str">
        <x:f>IFERROR(HYPERLINK("https://techcommunity.microsoft.com/blog/microsoft-copilot-blog/copilot-code-make-the-power-of-coding-accessible-to-everyone/4562358","Copilot Code: Make the power of coding accessible to everyone"),"Copilot Code: Make the power of coding accessible to everyone")</x:f>
        <x:v>Copilot Code: Make the power of coding accessible to everyone</x:v>
      </x:c>
      <x:c r="M13" s="25" t="str">
        <x:f>IFERROR(HYPERLINK("https://learn.microsoft.com/en-us/copilot/code/code-requirements","Supporting Microsoft documentation"),"Supporting Microsoft documentation")</x:f>
        <x:v>Supporting Microsoft documentation</x:v>
      </x:c>
      <x:c r="N13" s="79" t="d">
        <x:v>2026-10-21T00:00:00.000Z</x:v>
      </x:c>
      <x:c r="O13" s="79" t="d">
        <x:v>2026-10-23T00:00:00.000Z</x:v>
      </x:c>
      <x:c r="P13" s="24" t="str">
        <x:v>COP-78DFB0BADE</x:v>
      </x:c>
      <x:c r="Q13" s="19" t="str">
        <x:v>Availability milestone</x:v>
      </x:c>
      <x:c r="R13" s="19" t="str">
        <x:v>October 21 blog explicitly starts Frontier rollout. Preserves September planned milestone in COP-6DAA7AF72B. Requirements page lists Mac but overview does not; verify access. Not GA.</x:v>
      </x:c>
      <x:c r="S13" s="19" t="str">
        <x:v>COP-6DAA7AF72B</x:v>
      </x:c>
      <x:c r="T13" s="19"/>
      <x:c r="U13" s="79" t="d">
        <x:v>2026-10-21T00:00:00.000Z</x:v>
      </x:c>
    </x:row>
    <x:row r="14" ht="94" customHeight="1">
      <x:c r="A14" s="78" t="d">
        <x:v>2026-10-21T00:00:00.000Z</x:v>
      </x:c>
      <x:c r="B14" s="19" t="str">
        <x:v>Source announcement date. Exact publication day; rollout timing qualified separately.</x:v>
      </x:c>
      <x:c r="C14" s="19" t="str">
        <x:v>Copilot Cowork</x:v>
      </x:c>
      <x:c r="D14" s="19" t="str">
        <x:v>External-system event-driven Cowork tasks</x:v>
      </x:c>
      <x:c r="E14" s="19" t="str">
        <x:v>External records can trigger delegated work.</x:v>
      </x:c>
      <x:c r="F14" s="23" t="str">
        <x:v>High</x:v>
      </x:c>
      <x:c r="G14" s="19" t="str">
        <x:v>Start a response workflow when a case changes.</x:v>
      </x:c>
      <x:c r="H14" s="19" t="str">
        <x:v>Reduces repeated checks between business systems.</x:v>
      </x:c>
      <x:c r="I14" s="19" t="str">
        <x:v>Available / rolling out by connector</x:v>
      </x:c>
      <x:c r="J14" s="19" t="str">
        <x:v>Cowork access; usage charges; enabled connector/triggers; source permissions; actions require approval.</x:v>
      </x:c>
      <x:c r="K14" s="19" t="str">
        <x:v>Announced available, connector rollout dependent</x:v>
      </x:c>
      <x:c r="L14" s="25" t="str">
        <x:f>IFERROR(HYPERLINK("https://techcommunity.microsoft.com/blog/microsoft-copilot-blog/what%E2%80%99s-new-in-cowork-expanded-plugins-and-role-based-skills/4566221","What's New in Cowork: Expanded plugins and role-based skills"),"What's New in Cowork: Expanded plugins and role-based skills")</x:f>
        <x:v>What's New in Cowork: Expanded plugins and role-based skills</x:v>
      </x:c>
      <x:c r="M14" s="25"/>
      <x:c r="N14" s="79" t="d">
        <x:v>2026-10-21T00:00:00.000Z</x:v>
      </x:c>
      <x:c r="O14" s="79" t="d">
        <x:v>2026-10-23T00:00:00.000Z</x:v>
      </x:c>
      <x:c r="P14" s="24" t="str">
        <x:v>COP-A5BEFC7ACF</x:v>
      </x:c>
      <x:c r="Q14" s="19" t="str">
        <x:v>Available / rolling out by connector</x:v>
      </x:c>
      <x:c r="R14" s="19" t="str">
        <x:v>Announcement date, not proof of first release or access in every tenant.</x:v>
      </x:c>
      <x:c r="S14" s="19"/>
      <x:c r="T14" s="19"/>
      <x:c r="U14" s="79" t="d">
        <x:v>2026-10-21T00:00:00.000Z</x:v>
      </x:c>
    </x:row>
    <x:row r="15" ht="94" customHeight="1">
      <x:c r="A15" s="78" t="d">
        <x:v>2026-10-21T00:00:00.000Z</x:v>
      </x:c>
      <x:c r="B15" s="19" t="str">
        <x:v>Source announcement date. Exact publication day; rollout timing qualified separately.</x:v>
      </x:c>
      <x:c r="C15" s="19" t="str">
        <x:v>Copilot Cowork</x:v>
      </x:c>
      <x:c r="D15" s="19" t="str">
        <x:v>Power Platform connectors in Cowork</x:v>
      </x:c>
      <x:c r="E15" s="19" t="str">
        <x:v>Connect Power Platform business apps to delegated tasks.</x:v>
      </x:c>
      <x:c r="F15" s="23" t="str">
        <x:v>High</x:v>
      </x:c>
      <x:c r="G15" s="19" t="str">
        <x:v>Delegate work across approved business systems.</x:v>
      </x:c>
      <x:c r="H15" s="19" t="str">
        <x:v>Expands multi-system workflow reach.</x:v>
      </x:c>
      <x:c r="I15" s="19" t="str">
        <x:v>Rolling out</x:v>
      </x:c>
      <x:c r="J15" s="19" t="str">
        <x:v>Copilot/Cowork access; metered usage; admin-approved connections; connector-specific prerequisites.</x:v>
      </x:c>
      <x:c r="K15" s="19" t="str">
        <x:v>Over coming weeks after October 21</x:v>
      </x:c>
      <x:c r="L15" s="25" t="str">
        <x:f>IFERROR(HYPERLINK("https://techcommunity.microsoft.com/blog/microsoft-copilot-blog/what%E2%80%99s-new-in-cowork-expanded-plugins-and-role-based-skills/4566221","What's New in Cowork: Expanded plugins and role-based skills"),"What's New in Cowork: Expanded plugins and role-based skills")</x:f>
        <x:v>What's New in Cowork: Expanded plugins and role-based skills</x:v>
      </x:c>
      <x:c r="M15" s="25"/>
      <x:c r="N15" s="79" t="d">
        <x:v>2026-10-21T00:00:00.000Z</x:v>
      </x:c>
      <x:c r="O15" s="79" t="d">
        <x:v>2026-10-23T00:00:00.000Z</x:v>
      </x:c>
      <x:c r="P15" s="24" t="str">
        <x:v>COP-931192706D</x:v>
      </x:c>
      <x:c r="Q15" s="19" t="str">
        <x:v>Rolling out</x:v>
      </x:c>
      <x:c r="R15" s="19" t="str">
        <x:v>Announcement date, not proof of first release or access in every tenant.</x:v>
      </x:c>
      <x:c r="S15" s="19"/>
      <x:c r="T15" s="19"/>
      <x:c r="U15" s="79" t="d">
        <x:v>2026-10-21T00:00:00.000Z</x:v>
      </x:c>
    </x:row>
    <x:row r="16" ht="94" customHeight="1">
      <x:c r="A16" s="78" t="d">
        <x:v>2026-10-21T00:00:00.000Z</x:v>
      </x:c>
      <x:c r="B16" s="19" t="str">
        <x:v>Source announcement date. Exact publication day; rollout timing qualified separately.</x:v>
      </x:c>
      <x:c r="C16" s="19" t="str">
        <x:v>Copilot Cowork</x:v>
      </x:c>
      <x:c r="D16" s="19" t="str">
        <x:v>Role-based Cowork task catalog</x:v>
      </x:c>
      <x:c r="E16" s="19" t="str">
        <x:v>Adds role-specific task suggestions.</x:v>
      </x:c>
      <x:c r="F16" s="23" t="str">
        <x:v>Low</x:v>
      </x:c>
      <x:c r="G16" s="19" t="str">
        <x:v>Find a relevant first delegation.</x:v>
      </x:c>
      <x:c r="H16" s="19" t="str">
        <x:v>Discovery aid rather than new execution capability.</x:v>
      </x:c>
      <x:c r="I16" s="19" t="str">
        <x:v>Rolling out</x:v>
      </x:c>
      <x:c r="J16" s="19" t="str">
        <x:v>Cowork access; usage charges when tasks run; staged catalog availability.</x:v>
      </x:c>
      <x:c r="K16" s="19" t="str">
        <x:v>Rolling out now; expected by end-October</x:v>
      </x:c>
      <x:c r="L16" s="25" t="str">
        <x:f>IFERROR(HYPERLINK("https://techcommunity.microsoft.com/blog/microsoft-copilot-blog/what%E2%80%99s-new-in-cowork-expanded-plugins-and-role-based-skills/4566221","What's New in Cowork: Expanded plugins and role-based skills"),"What's New in Cowork: Expanded plugins and role-based skills")</x:f>
        <x:v>What's New in Cowork: Expanded plugins and role-based skills</x:v>
      </x:c>
      <x:c r="M16" s="25"/>
      <x:c r="N16" s="79" t="d">
        <x:v>2026-10-21T00:00:00.000Z</x:v>
      </x:c>
      <x:c r="O16" s="79" t="d">
        <x:v>2026-10-23T00:00:00.000Z</x:v>
      </x:c>
      <x:c r="P16" s="24" t="str">
        <x:v>COP-AF83AA6593</x:v>
      </x:c>
      <x:c r="Q16" s="19" t="str">
        <x:v>Rolling out</x:v>
      </x:c>
      <x:c r="R16" s="19" t="str">
        <x:v>Announcement date, not proof of first release or access in every tenant.</x:v>
      </x:c>
      <x:c r="S16" s="19"/>
      <x:c r="T16" s="19"/>
      <x:c r="U16" s="79" t="d">
        <x:v>2026-10-21T00:00:00.000Z</x:v>
      </x:c>
    </x:row>
    <x:row r="17" ht="94" customHeight="1">
      <x:c r="A17" s="78" t="d">
        <x:v>2026-10-21T00:00:00.000Z</x:v>
      </x:c>
      <x:c r="B17" s="19" t="str">
        <x:v>Source announcement date. Exact publication day; rollout timing qualified separately.</x:v>
      </x:c>
      <x:c r="C17" s="19" t="str">
        <x:v>Copilot Cowork</x:v>
      </x:c>
      <x:c r="D17" s="19" t="str">
        <x:v>Sales for Cowork role plugin</x:v>
      </x:c>
      <x:c r="E17" s="19" t="str">
        <x:v>Nine skills support sales preparation and follow-up.</x:v>
      </x:c>
      <x:c r="F17" s="23" t="str">
        <x:v>Medium</x:v>
      </x:c>
      <x:c r="G17" s="19" t="str">
        <x:v>Prepare a deal briefing from existing work.</x:v>
      </x:c>
      <x:c r="H17" s="19" t="str">
        <x:v>Useful repeatable sales workflows.</x:v>
      </x:c>
      <x:c r="I17" s="19" t="str">
        <x:v>Available; admin-controlled</x:v>
      </x:c>
      <x:c r="J17" s="19" t="str">
        <x:v>Cowork access; usage charges; admin-enabled plugin; CRM optional; separate from Dynamics Sales plugin.</x:v>
      </x:c>
      <x:c r="K17" s="19" t="str">
        <x:v>Available today per announcement</x:v>
      </x:c>
      <x:c r="L17" s="25" t="str">
        <x:f>IFERROR(HYPERLINK("https://techcommunity.microsoft.com/blog/microsoft-copilot-blog/what%E2%80%99s-new-in-cowork-expanded-plugins-and-role-based-skills/4566221","What's New in Cowork: Expanded plugins and role-based skills"),"What's New in Cowork: Expanded plugins and role-based skills")</x:f>
        <x:v>What's New in Cowork: Expanded plugins and role-based skills</x:v>
      </x:c>
      <x:c r="M17" s="25" t="str">
        <x:f>IFERROR(HYPERLINK("https://learn.microsoft.com/en-us/microsoft-365/copilot/cowork/cowork-available-plugins","Supporting Microsoft documentation"),"Supporting Microsoft documentation")</x:f>
        <x:v>Supporting Microsoft documentation</x:v>
      </x:c>
      <x:c r="N17" s="79" t="d">
        <x:v>2026-10-21T00:00:00.000Z</x:v>
      </x:c>
      <x:c r="O17" s="79" t="d">
        <x:v>2026-10-23T00:00:00.000Z</x:v>
      </x:c>
      <x:c r="P17" s="24" t="str">
        <x:v>COP-3CAC411DD4</x:v>
      </x:c>
      <x:c r="Q17" s="19" t="str">
        <x:v>Available; admin-controlled</x:v>
      </x:c>
      <x:c r="R17" s="19" t="str">
        <x:v>Announcement date, not proof of first release or access in every tenant.</x:v>
      </x:c>
      <x:c r="S17" s="19"/>
      <x:c r="T17" s="19"/>
      <x:c r="U17" s="79" t="d">
        <x:v>2026-10-21T00:00:00.000Z</x:v>
      </x:c>
    </x:row>
    <x:row r="18" ht="94" customHeight="1">
      <x:c r="A18" s="78" t="d">
        <x:v>2026-10-21T00:00:00.000Z</x:v>
      </x:c>
      <x:c r="B18" s="19" t="str">
        <x:v>Source announcement date. Exact publication day; rollout timing qualified separately.</x:v>
      </x:c>
      <x:c r="C18" s="19" t="str">
        <x:v>Copilot Cowork</x:v>
      </x:c>
      <x:c r="D18" s="19" t="str">
        <x:v>Service for Cowork role plugin</x:v>
      </x:c>
      <x:c r="E18" s="19" t="str">
        <x:v>Five skills support case handling and knowledge capture.</x:v>
      </x:c>
      <x:c r="F18" s="23" t="str">
        <x:v>Medium</x:v>
      </x:c>
      <x:c r="G18" s="19" t="str">
        <x:v>Prepare consistent case handovers and draft replies.</x:v>
      </x:c>
      <x:c r="H18" s="19" t="str">
        <x:v>Useful repeatable support workflows.</x:v>
      </x:c>
      <x:c r="I18" s="19" t="str">
        <x:v>Available; admin-controlled</x:v>
      </x:c>
      <x:c r="J18" s="19" t="str">
        <x:v>Cowork access; usage charges; admin-enabled plugin; CRM optional; separate from Dynamics Customer Service plugin.</x:v>
      </x:c>
      <x:c r="K18" s="19" t="str">
        <x:v>Available today per announcement</x:v>
      </x:c>
      <x:c r="L18" s="25" t="str">
        <x:f>IFERROR(HYPERLINK("https://techcommunity.microsoft.com/blog/microsoft-copilot-blog/what%E2%80%99s-new-in-cowork-expanded-plugins-and-role-based-skills/4566221","What's New in Cowork: Expanded plugins and role-based skills"),"What's New in Cowork: Expanded plugins and role-based skills")</x:f>
        <x:v>What's New in Cowork: Expanded plugins and role-based skills</x:v>
      </x:c>
      <x:c r="M18" s="25" t="str">
        <x:f>IFERROR(HYPERLINK("https://learn.microsoft.com/en-us/microsoft-365/copilot/cowork/cowork-available-plugins","Supporting Microsoft documentation"),"Supporting Microsoft documentation")</x:f>
        <x:v>Supporting Microsoft documentation</x:v>
      </x:c>
      <x:c r="N18" s="79" t="d">
        <x:v>2026-10-21T00:00:00.000Z</x:v>
      </x:c>
      <x:c r="O18" s="79" t="d">
        <x:v>2026-10-23T00:00:00.000Z</x:v>
      </x:c>
      <x:c r="P18" s="24" t="str">
        <x:v>COP-B61B765CB5</x:v>
      </x:c>
      <x:c r="Q18" s="19" t="str">
        <x:v>Available; admin-controlled</x:v>
      </x:c>
      <x:c r="R18" s="19" t="str">
        <x:v>Announcement date, not proof of first release or access in every tenant.</x:v>
      </x:c>
      <x:c r="S18" s="19"/>
      <x:c r="T18" s="19"/>
      <x:c r="U18" s="79" t="d">
        <x:v>2026-10-21T00:00:00.000Z</x:v>
      </x:c>
    </x:row>
    <x:row r="19" ht="94" customHeight="1">
      <x:c r="A19" s="78" t="d">
        <x:v>2026-10-21T00:00:00.000Z</x:v>
      </x:c>
      <x:c r="B19" s="19" t="str">
        <x:v>Source announcement date. Exact publication day; rollout timing qualified separately.</x:v>
      </x:c>
      <x:c r="C19" s="19" t="str">
        <x:v>Copilot licensing / Credits</x:v>
      </x:c>
      <x:c r="D19" s="19" t="str">
        <x:v>E7 matched Copilot Credits offer</x:v>
      </x:c>
      <x:c r="E19" s="19" t="str">
        <x:v>Eligible CSP E7 purchases receive matched credit capacity.</x:v>
      </x:c>
      <x:c r="F19" s="23" t="str">
        <x:v>Low</x:v>
      </x:c>
      <x:c r="G19" s="19" t="str">
        <x:v>Reassess capacity costs for a qualifying deployment.</x:v>
      </x:c>
      <x:c r="H19" s="19" t="str">
        <x:v>Procurement benefit, not new functionality.</x:v>
      </x:c>
      <x:c r="I19" s="19" t="str">
        <x:v>Limited-time offer</x:v>
      </x:c>
      <x:c r="J19" s="19" t="str">
        <x:v>At least 300 new annual E7 seats, Azure PAYG, and 5 annual Studio capacity packs. Match up to 5 packs for 12 months. Full offer terms apply.</x:v>
      </x:c>
      <x:c r="K19" s="19" t="str">
        <x:v>Offer available through December 31, 2026</x:v>
      </x:c>
      <x:c r="L19" s="25" t="str">
        <x:f>IFERROR(HYPERLINK("https://learn.microsoft.com/en-us/partner-center/announcements/2026-october","October 2026 Partner Center announcements"),"October 2026 Partner Center announcements")</x:f>
        <x:v>October 2026 Partner Center announcements</x:v>
      </x:c>
      <x:c r="M19" s="25"/>
      <x:c r="N19" s="79" t="d">
        <x:v>2026-10-21T00:00:00.000Z</x:v>
      </x:c>
      <x:c r="O19" s="79" t="d">
        <x:v>2026-10-23T00:00:00.000Z</x:v>
      </x:c>
      <x:c r="P19" s="24" t="str">
        <x:v>COP-FD7F2A134A</x:v>
      </x:c>
      <x:c r="Q19" s="19" t="str">
        <x:v>Limited-time offer</x:v>
      </x:c>
      <x:c r="R19" s="19" t="str">
        <x:v>Announcement date, not proof of first release or access in every tenant.</x:v>
      </x:c>
      <x:c r="S19" s="19"/>
      <x:c r="T19" s="19"/>
      <x:c r="U19" s="79" t="d">
        <x:v>2026-10-21T00:00:00.000Z</x:v>
      </x:c>
    </x:row>
    <x:row r="20" ht="94" customHeight="1">
      <x:c r="A20" s="78" t="d">
        <x:v>2026-10-20T00:00:00.000Z</x:v>
      </x:c>
      <x:c r="B20" s="19" t="str">
        <x:v>Source announcement date. Exact publication day; rollout timing qualified separately.</x:v>
      </x:c>
      <x:c r="C20" s="19" t="str">
        <x:v>Copilot Cowork</x:v>
      </x:c>
      <x:c r="D20" s="19" t="str">
        <x:v>Education for Cowork</x:v>
      </x:c>
      <x:c r="E20" s="19" t="str">
        <x:v>Ten education skills and 20 tasks for accreditation, accessibility, continuity, staff AI rollout, governance and research briefs.</x:v>
      </x:c>
      <x:c r="F20" s="23" t="str">
        <x:v>Medium</x:v>
      </x:c>
      <x:c r="G20" s="19" t="str">
        <x:v>Prepare accreditation evidence and accessibility reviews.</x:v>
      </x:c>
      <x:c r="H20" s="19" t="str">
        <x:v>Role-focused assistance for institutional work.</x:v>
      </x:c>
      <x:c r="I20" s="19" t="str">
        <x:v>Rolling out / available subject to tenant</x:v>
      </x:c>
      <x:c r="J20" s="19" t="str">
        <x:v>M365 Copilot + Cowork spending policy and metered Credits. Worldwide rollout; no EDU-specific license. Admin controls users/groups. Skills only, no connector/SSO.</x:v>
      </x:c>
      <x:c r="K20" s="19" t="str">
        <x:v>Worldwide rollout; October 21 roundup says role plugins available today</x:v>
      </x:c>
      <x:c r="L20" s="25" t="str">
        <x:f>IFERROR(HYPERLINK("https://techcommunity.microsoft.com/blog/educationblog/introducing-education-for-cowork/4565876","Introducing Education for Cowork"),"Introducing Education for Cowork")</x:f>
        <x:v>Introducing Education for Cowork</x:v>
      </x:c>
      <x:c r="M20" s="25" t="str">
        <x:f>IFERROR(HYPERLINK("https://techcommunity.microsoft.com/blog/microsoft-copilot-blog/what%E2%80%99s-new-in-cowork-expanded-plugins-and-role-based-skills/4566221","Supporting Microsoft documentation"),"Supporting Microsoft documentation")</x:f>
        <x:v>Supporting Microsoft documentation</x:v>
      </x:c>
      <x:c r="N20" s="79" t="d">
        <x:v>2026-10-20T00:00:00.000Z</x:v>
      </x:c>
      <x:c r="O20" s="79" t="d">
        <x:v>2026-10-23T00:00:00.000Z</x:v>
      </x:c>
      <x:c r="P20" s="24" t="str">
        <x:v>COP-80FDF077AE</x:v>
      </x:c>
      <x:c r="Q20" s="19" t="str">
        <x:v>Rolling out / available subject to tenant</x:v>
      </x:c>
      <x:c r="R20" s="19" t="str">
        <x:v>October 20 announcement, updated October 22. Ten skills and 20 tasks. Not for individual student judgments or staff evaluation. Information Barriers restrictions apply to skill/plugin management and embedded knowledge.</x:v>
      </x:c>
      <x:c r="S20" s="19"/>
      <x:c r="T20" s="19"/>
      <x:c r="U20" s="79" t="d">
        <x:v>2026-10-20T00:00:00.000Z</x:v>
      </x:c>
    </x:row>
    <x:row r="21" ht="94" customHeight="1">
      <x:c r="A21" s="78" t="d">
        <x:v>2026-10-20T00:00:00.000Z</x:v>
      </x:c>
      <x:c r="B21" s="19" t="str">
        <x:v>Source announcement date. Exact publication day; rollout timing qualified separately.</x:v>
      </x:c>
      <x:c r="C21" s="19" t="str">
        <x:v>Copilot in OneDrive</x:v>
      </x:c>
      <x:c r="D21" s="19" t="str">
        <x:v>Cross-spreadsheet analysis in OneDrive</x:v>
      </x:c>
      <x:c r="E21" s="19" t="str">
        <x:v>Analyze selected spreadsheets together, including charts, graphs and trends.</x:v>
      </x:c>
      <x:c r="F21" s="23" t="str">
        <x:v>Medium</x:v>
      </x:c>
      <x:c r="G21" s="19" t="str">
        <x:v>Compare departmental files before drafting a report.</x:v>
      </x:c>
      <x:c r="H21" s="19" t="str">
        <x:v>Useful file-level analysis; rollout remains unverified.</x:v>
      </x:c>
      <x:c r="I21" s="19" t="str">
        <x:v>Announced; exact rollout unconfirmed</x:v>
      </x:c>
      <x:c r="J21" s="19" t="str">
        <x:v>No feature-level license/platform/region detail. Do not use overall OneDrive/SharePoint GA as proof this capability completed rollout.</x:v>
      </x:c>
      <x:c r="K21" s="19" t="str">
        <x:v>Not individually specified; event mixes available-now and coming-month features</x:v>
      </x:c>
      <x:c r="L21" s="25" t="str">
        <x:f>IFERROR(HYPERLINK("https://techcommunity.microsoft.com/blog/onedriveblog/onedrive-just-got-a-major-upgrade-new-copilot-capabilities-simpler-sharing-and-s/4565995","OneDrive Just Got a Major Upgrade: New Copilot Capabilities, Simpler Sharing, and Smarter Photos"),"OneDrive Just Got a Major Upgrade: New Copilot Capabilities, Simpler Sharing, and Smarter Photos")</x:f>
        <x:v>OneDrive Just Got a Major Upgrade: New Copilot Capabilities, Simpler Sharing, and Smarter Photos</x:v>
      </x:c>
      <x:c r="M21" s="25"/>
      <x:c r="N21" s="79" t="d">
        <x:v>2026-10-20T00:00:00.000Z</x:v>
      </x:c>
      <x:c r="O21" s="79" t="d">
        <x:v>2026-10-23T00:00:00.000Z</x:v>
      </x:c>
      <x:c r="P21" s="24" t="str">
        <x:v>COP-3A95B96107</x:v>
      </x:c>
      <x:c r="Q21" s="19" t="str">
        <x:v>Announced; exact rollout unconfirmed</x:v>
      </x:c>
      <x:c r="R21" s="19" t="str">
        <x:v>October 20 event recap (updated October 21) mixes current and coming-month features. Individual rollout unspecified; overall OneDrive GA is not evidence this feature is live.</x:v>
      </x:c>
      <x:c r="S21" s="19"/>
      <x:c r="T21" s="19"/>
      <x:c r="U21" s="79" t="d">
        <x:v>2026-10-20T00:00:00.000Z</x:v>
      </x:c>
    </x:row>
    <x:row r="22" ht="94" customHeight="1">
      <x:c r="A22" s="78" t="d">
        <x:v>2026-10-20T00:00:00.000Z</x:v>
      </x:c>
      <x:c r="B22" s="19" t="str">
        <x:v>Source announcement date. Exact publication day; rollout timing qualified separately.</x:v>
      </x:c>
      <x:c r="C22" s="19" t="str">
        <x:v>Work IQ</x:v>
      </x:c>
      <x:c r="D22" s="19" t="str">
        <x:v>Work IQ retrieve MCP tool</x:v>
      </x:c>
      <x:c r="E22" s="19" t="str">
        <x:v>Retrieves cited grounding Markdown plus structured source metadata across authorized workplace information for agent workflows.</x:v>
      </x:c>
      <x:c r="F22" s="23" t="str">
        <x:v>High</x:v>
      </x:c>
      <x:c r="G22" s="19" t="str">
        <x:v>Ground a custom assistant in inspectable source material.</x:v>
      </x:c>
      <x:c r="H22" s="19" t="str">
        <x:v>Enables reusable evidence-based agent workflows.</x:v>
      </x:c>
      <x:c r="I22" s="19" t="str">
        <x:v>Public preview</x:v>
      </x:c>
      <x:c r="J22" s="19" t="str">
        <x:v>Public preview; tenant enablement, delegated WorkIQAgent.Ask permission, admin consent, Copilot Credits and Work IQ API spending policy.</x:v>
      </x:c>
      <x:c r="K22" s="19" t="str">
        <x:v>Public preview documented by October 13; October 20 explanatory announcement</x:v>
      </x:c>
      <x:c r="L22" s="25" t="str">
        <x:f>IFERROR(HYPERLINK("https://devblogs.microsoft.com/microsoft365dev/work-iq-retrieve-october-2026/","Work IQ: the new retrieve tool"),"Work IQ: the new retrieve tool")</x:f>
        <x:v>Work IQ: the new retrieve tool</x:v>
      </x:c>
      <x:c r="M22" s="25" t="str">
        <x:f>IFERROR(HYPERLINK("https://learn.microsoft.com/en-us/microsoft-365/copilot/extensibility/work-iq/mcp/retrieve","Supporting Microsoft documentation"),"Supporting Microsoft documentation")</x:f>
        <x:v>Supporting Microsoft documentation</x:v>
      </x:c>
      <x:c r="N22" s="79" t="d">
        <x:v>2026-10-20T00:00:00.000Z</x:v>
      </x:c>
      <x:c r="O22" s="79" t="d">
        <x:v>2026-10-23T00:00:00.000Z</x:v>
      </x:c>
      <x:c r="P22" s="24" t="str">
        <x:v>COP-829E48EB72</x:v>
      </x:c>
      <x:c r="Q22" s="19" t="str">
        <x:v>Public preview</x:v>
      </x:c>
      <x:c r="R22" s="19" t="str">
        <x:v>Preview documented by October 13; October 20 is the explanatory announcement. Blog says copilot default and lists Dataverse; reference says grounding default and Dataverse/Power BI unsupported. Use reference limits; verify live tool schema.</x:v>
      </x:c>
      <x:c r="S22" s="19"/>
      <x:c r="T22" s="19"/>
      <x:c r="U22" s="79" t="d">
        <x:v>2026-10-20T00:00:00.000Z</x:v>
      </x:c>
    </x:row>
    <x:row r="23" ht="94" customHeight="1">
      <x:c r="A23" s="78" t="d">
        <x:v>2026-10-19T00:00:00.000Z</x:v>
      </x:c>
      <x:c r="B23" s="19" t="str">
        <x:v>Source announcement date. Exact publication day; rollout timing qualified separately.</x:v>
      </x:c>
      <x:c r="C23" s="19" t="str">
        <x:v>PowerPoint</x:v>
      </x:c>
      <x:c r="D23" s="19" t="str">
        <x:v>Interactive PowerPoint slides broad rollout</x:v>
      </x:c>
      <x:c r="E23" s="19" t="str">
        <x:v>Generate clickable dashboards, timelines, process flows and comparisons from prompts or existing work content.</x:v>
      </x:c>
      <x:c r="F23" s="23" t="str">
        <x:v>High</x:v>
      </x:c>
      <x:c r="G23" s="19" t="str">
        <x:v>Explore assumptions during a stakeholder presentation.</x:v>
      </x:c>
      <x:c r="H23" s="19" t="str">
        <x:v>Adds explorable outputs to everyday presentation work.</x:v>
      </x:c>
      <x:c r="I23" s="19" t="str">
        <x:v>Rolling out, not confirmed complete</x:v>
      </x:c>
      <x:c r="J23" s="19" t="str">
        <x:v>Eligible Copilot in PowerPoint; Windows/Mac Current or Monthly Enterprise Channel and web. Viewers need no Copilot. Prompt-based edits; mobile/PDF static. Mac presenter-view interaction unsupported.</x:v>
      </x:c>
      <x:c r="K23" s="19" t="str">
        <x:v>Rolling out from mid-October; expected complete end-October 2026</x:v>
      </x:c>
      <x:c r="L23" s="25" t="str">
        <x:f>IFERROR(HYPERLINK("https://techcommunity.microsoft.com/blog/microsoft-copilot-blog/transform-your-storytelling-with-interactive-slides-in-powerpoint/4564287","Transform your storytelling with interactive slides in PowerPoint"),"Transform your storytelling with interactive slides in PowerPoint")</x:f>
        <x:v>Transform your storytelling with interactive slides in PowerPoint</x:v>
      </x:c>
      <x:c r="M23" s="25" t="str">
        <x:f>IFERROR(HYPERLINK("https://support.microsoft.com/en-gb/powerpoint/copilot/create-interactive-slides-with-copilot-in-powerpoint","Supporting Microsoft documentation"),"Supporting Microsoft documentation")</x:f>
        <x:v>Supporting Microsoft documentation</x:v>
      </x:c>
      <x:c r="N23" s="79" t="d">
        <x:v>2026-10-19T00:00:00.000Z</x:v>
      </x:c>
      <x:c r="O23" s="79" t="d">
        <x:v>2026-10-23T00:00:00.000Z</x:v>
      </x:c>
      <x:c r="P23" s="24" t="str">
        <x:v>COP-9BC3B20FD7</x:v>
      </x:c>
      <x:c r="Q23" s="19" t="str">
        <x:v>Rolling out, not confirmed complete</x:v>
      </x:c>
      <x:c r="R23" s="19" t="str">
        <x:v>Mid-October through end-October rollout window, not a confirmed October 19 launch day. Frontier/Insider access preceded this broad rollout. Teams Live interactions are individual; no dedicated admin control.</x:v>
      </x:c>
      <x:c r="S23" s="19"/>
      <x:c r="T23" s="19"/>
      <x:c r="U23" s="79" t="d">
        <x:v>2026-10-19T00:00:00.000Z</x:v>
      </x:c>
    </x:row>
    <x:row r="24" ht="70" customHeight="1">
      <x:c r="A24" s="21" t="d">
        <x:v>2026-10-16T00:00:00.000Z</x:v>
      </x:c>
      <x:c r="B24" s="19" t="str">
        <x:v>Stated effective date. Effective 16 October 2026 per announcement. Availability precision: Exact day</x:v>
      </x:c>
      <x:c r="C24" s="19" t="str">
        <x:v>Copilot licensing catalog</x:v>
      </x:c>
      <x:c r="D24" s="19" t="str">
        <x:v>Current offers renamed add-on</x:v>
      </x:c>
      <x:c r="E24" s="19" t="str">
        <x:v>Existing qualifying-base offers gain add-on naming.</x:v>
      </x:c>
      <x:c r="F24" s="23" t="str">
        <x:v>Medium</x:v>
      </x:c>
      <x:c r="G24" s="19" t="str">
        <x:v>Change purchasing integrations to match stable product/SKU identifiers rather than display names.</x:v>
      </x:c>
      <x:c r="H24" s="19" t="str">
        <x:v>Name-based provisioning or quoting automation could break even though service rights do not change.</x:v>
      </x:c>
      <x:c r="I24" s="19" t="str">
        <x:v>Effective 16 October 2026 per announcement</x:v>
      </x:c>
      <x:c r="J24" s="19" t="str">
        <x:v>Existing Copilot/Copilot Business offers retaining qualifying base-subscription requirement
Existing IDs, price, renewal and service unchanged; no migration or reassignment.</x:v>
      </x:c>
      <x:c r="K24" s="19" t="str">
        <x:v>2026-10-16</x:v>
      </x:c>
      <x:c r="L24" s="25" t="str">
        <x:f>IFERROR(HYPERLINK("https://learn.microsoft.com/en-us/partner-center/announcements/2026-october","October 2026 Partner Center announcements"),"October 2026 Partner Center announcements")</x:f>
        <x:v>October 2026 Partner Center announcements</x:v>
      </x:c>
      <x:c r="M24" s="25" t="str"/>
      <x:c r="N24" s="20" t="d">
        <x:v>2026-10-14T00:00:00.000Z</x:v>
      </x:c>
      <x:c r="O24" s="20" t="d">
        <x:v>2026-10-16T00:00:00.000Z</x:v>
      </x:c>
      <x:c r="P24" s="24" t="str">
        <x:v>COP-252C27C1A9</x:v>
      </x:c>
      <x:c r="Q24" s="19" t="str">
        <x:v>Effective 16 October 2026 per announcement</x:v>
      </x:c>
      <x:c r="R24" s="19" t="str">
        <x:v>Announcement explicitly says names changeOct16. This is catalog terminology, not a feature entitlement expansion.</x:v>
      </x:c>
      <x:c r="S24" s="19" t="str"/>
      <x:c r="T24" s="19" t="str"/>
      <x:c r="U24" s="20" t="d">
        <x:v>2026-10-14T00:00:00.000Z</x:v>
      </x:c>
    </x:row>
    <x:row r="25" ht="64" customHeight="1">
      <x:c r="A25" s="21" t="d">
        <x:v>2026-10-15T00:00:00.000Z</x:v>
      </x:c>
      <x:c r="B25" s="19" t="str">
        <x:v>Stated effective date. GA. Availability precision: Exact day</x:v>
      </x:c>
      <x:c r="C25" s="19" t="str">
        <x:v>Copilot Cowork legal</x:v>
      </x:c>
      <x:c r="D25" s="19" t="str">
        <x:v>Multi-file matter work</x:v>
      </x:c>
      <x:c r="E25" s="19" t="str">
        <x:v>Support obligations, agreement comparisons, and case chronologies.</x:v>
      </x:c>
      <x:c r="F25" s="23" t="str">
        <x:v>High</x:v>
      </x:c>
      <x:c r="G25" s="19" t="str">
        <x:v>Prepare a structured matter overview for professional review from a distributed document set.</x:v>
      </x:c>
      <x:c r="H25" s="19" t="str">
        <x:v>Allows related matter documents to be considered together rather than analyzed one at a time.</x:v>
      </x:c>
      <x:c r="I25" s="19" t="str">
        <x:v>GA</x:v>
      </x:c>
      <x:c r="J25" s="19" t="str">
        <x:v>Microsoft 365 Copilot commercial; Cowork usage charges may apply
Cowork; add Legal plugin</x:v>
      </x:c>
      <x:c r="K25" s="19" t="str">
        <x:v>2026-10-15</x:v>
      </x:c>
      <x:c r="L25" s="25" t="str">
        <x:f>IFERROR(HYPERLINK("https://techcommunity.microsoft.com/blog/microsoft-copilot-blog/introducing-microsoft-copilot-for-legal/4564246","Introducing Microsoft Copilot for legal"),"Introducing Microsoft Copilot for legal")</x:f>
        <x:v>Introducing Microsoft Copilot for legal</x:v>
      </x:c>
      <x:c r="M25" s="25" t="str"/>
      <x:c r="N25" s="20" t="d">
        <x:v>2026-10-15T00:00:00.000Z</x:v>
      </x:c>
      <x:c r="O25" s="20" t="d">
        <x:v>2026-10-16T00:00:00.000Z</x:v>
      </x:c>
      <x:c r="P25" s="24" t="str">
        <x:v>COP-D201EC9BE5</x:v>
      </x:c>
      <x:c r="Q25" s="19" t="str">
        <x:v>GA</x:v>
      </x:c>
      <x:c r="R25" s="19" t="str"/>
      <x:c r="S25" s="19" t="str"/>
      <x:c r="T25" s="19" t="str"/>
      <x:c r="U25" s="20" t="d">
        <x:v>2026-10-15T00:00:00.000Z</x:v>
      </x:c>
    </x:row>
    <x:row r="26" ht="64" customHeight="1">
      <x:c r="A26" s="21" t="d">
        <x:v>2026-10-15T00:00:00.000Z</x:v>
      </x:c>
      <x:c r="B26" s="19" t="str">
        <x:v>Stated effective date. GA. Availability precision: Exact day</x:v>
      </x:c>
      <x:c r="C26" s="19" t="str">
        <x:v>Copilot for legal</x:v>
      </x:c>
      <x:c r="D26" s="19" t="str">
        <x:v>Legal skills GA</x:v>
      </x:c>
      <x:c r="E26" s="19" t="str">
        <x:v>More than 20 legal-specific capabilities become available.</x:v>
      </x:c>
      <x:c r="F26" s="23" t="str">
        <x:v>High</x:v>
      </x:c>
      <x:c r="G26" s="19" t="str">
        <x:v>Evaluate first-pass legal document workflows inside existing Microsoft 365 tools with qualified review.</x:v>
      </x:c>
      <x:c r="H26" s="19" t="str">
        <x:v>Packages repeatable legal-document workflows inside existing tools; qualified legal review remains necessary.</x:v>
      </x:c>
      <x:c r="I26" s="19" t="str">
        <x:v>GA</x:v>
      </x:c>
      <x:c r="J26" s="19" t="str">
        <x:v>Microsoft 365 Copilot commercial
Worldwide; Word desktop and Cowork</x:v>
      </x:c>
      <x:c r="K26" s="19" t="str">
        <x:v>2026-10-15</x:v>
      </x:c>
      <x:c r="L26" s="25" t="str">
        <x:f>IFERROR(HYPERLINK("https://techcommunity.microsoft.com/blog/microsoft-copilot-blog/introducing-microsoft-copilot-for-legal/4564246","Introducing Microsoft Copilot for legal"),"Introducing Microsoft Copilot for legal")</x:f>
        <x:v>Introducing Microsoft Copilot for legal</x:v>
      </x:c>
      <x:c r="M26" s="25" t="str"/>
      <x:c r="N26" s="20" t="d">
        <x:v>2026-10-15T00:00:00.000Z</x:v>
      </x:c>
      <x:c r="O26" s="20" t="d">
        <x:v>2026-10-16T00:00:00.000Z</x:v>
      </x:c>
      <x:c r="P26" s="24" t="str">
        <x:v>COP-144A762445</x:v>
      </x:c>
      <x:c r="Q26" s="19" t="str">
        <x:v>GA</x:v>
      </x:c>
      <x:c r="R26" s="19" t="str">
        <x:v>Launch is verified October 15, not merely an inferred roadmap date.</x:v>
      </x:c>
      <x:c r="S26" s="19" t="str"/>
      <x:c r="T26" s="19" t="str"/>
      <x:c r="U26" s="20" t="d">
        <x:v>2026-10-15T00:00:00.000Z</x:v>
      </x:c>
    </x:row>
    <x:row r="27" ht="70" customHeight="1">
      <x:c r="A27" s="21" t="d">
        <x:v>2026-10-15T00:00:00.000Z</x:v>
      </x:c>
      <x:c r="B27" s="19" t="str">
        <x:v>Source report date. Phased rollout. Availability precision: Window / relative timing</x:v>
      </x:c>
      <x:c r="C27" s="19" t="str">
        <x:v>Legal partner plugins</x:v>
      </x:c>
      <x:c r="D27" s="19" t="str">
        <x:v>Specialist ecosystem rollout</x:v>
      </x:c>
      <x:c r="E27" s="19" t="str">
        <x:v>Legal research, matter, signature, AI, and discovery integrations.</x:v>
      </x:c>
      <x:c r="F27" s="23" t="str">
        <x:v>High</x:v>
      </x:c>
      <x:c r="G27" s="19" t="str">
        <x:v>Assess whether existing legal subscriptions can be used within the document workflow.</x:v>
      </x:c>
      <x:c r="H27" s="19" t="str">
        <x:v>Connects productivity work to specialized legal systems, but value depends on actual partner availability and rights.</x:v>
      </x:c>
      <x:c r="I27" s="19" t="str">
        <x:v>Phased rollout</x:v>
      </x:c>
      <x:c r="J27" s="19" t="str">
        <x:v>Partner subscriptions and admin approval may be required
Individual partner availability varies</x:v>
      </x:c>
      <x:c r="K27" s="19" t="str">
        <x:v>2026-10-15 onward</x:v>
      </x:c>
      <x:c r="L27" s="25" t="str">
        <x:f>IFERROR(HYPERLINK("https://techcommunity.microsoft.com/blog/microsoft-copilot-blog/introducing-microsoft-copilot-for-legal/4564246","Introducing Microsoft Copilot for legal"),"Introducing Microsoft Copilot for legal")</x:f>
        <x:v>Introducing Microsoft Copilot for legal</x:v>
      </x:c>
      <x:c r="M27" s="25" t="str"/>
      <x:c r="N27" s="20" t="d">
        <x:v>2026-10-15T00:00:00.000Z</x:v>
      </x:c>
      <x:c r="O27" s="20" t="d">
        <x:v>2026-10-16T00:00:00.000Z</x:v>
      </x:c>
      <x:c r="P27" s="24" t="str">
        <x:v>COP-E5AD4B00A5</x:v>
      </x:c>
      <x:c r="Q27" s="19" t="str">
        <x:v>Phased rollout</x:v>
      </x:c>
      <x:c r="R27" s="19" t="str">
        <x:v>Named examples include Bloomberg Law, iManage, NetDocuments, Docusign, Harvey, Legora, Everlaw, Relativity; no claim all shipped on launch day.</x:v>
      </x:c>
      <x:c r="S27" s="19" t="str"/>
      <x:c r="T27" s="19" t="str"/>
      <x:c r="U27" s="20" t="d">
        <x:v>2026-10-15T00:00:00.000Z</x:v>
      </x:c>
    </x:row>
    <x:row r="28" ht="70" customHeight="1">
      <x:c r="A28" s="21" t="d">
        <x:v>2026-10-15T00:00:00.000Z</x:v>
      </x:c>
      <x:c r="B28" s="19" t="str">
        <x:v>Source report date. Planned preview. Availability precision: Window / relative timing</x:v>
      </x:c>
      <x:c r="C28" s="19" t="str">
        <x:v>Word legal</x:v>
      </x:c>
      <x:c r="D28" s="19" t="str">
        <x:v>Defined-term navigation</x:v>
      </x:c>
      <x:c r="E28" s="19" t="str">
        <x:v>Jump between terms and definitions.</x:v>
      </x:c>
      <x:c r="F28" s="23" t="str">
        <x:v>Medium</x:v>
      </x:c>
      <x:c r="G28" s="19" t="str">
        <x:v>Review a long agreement’s definitions with less manual searching.</x:v>
      </x:c>
      <x:c r="H28" s="19" t="str">
        <x:v>Could reduce contract-review navigation effort once the planned preview arrives.</x:v>
      </x:c>
      <x:c r="I28" s="19" t="str">
        <x:v>Planned preview</x:v>
      </x:c>
      <x:c r="J28" s="19" t="str">
        <x:v>Eligibility not specified in announcement
Not GA and not confirmed live by October 16</x:v>
      </x:c>
      <x:c r="K28" s="19" t="str">
        <x:v>Later October 2026</x:v>
      </x:c>
      <x:c r="L28" s="25" t="str">
        <x:f>IFERROR(HYPERLINK("https://techcommunity.microsoft.com/blog/microsoft-copilot-blog/introducing-microsoft-copilot-for-legal/4564246","Introducing Microsoft Copilot for legal"),"Introducing Microsoft Copilot for legal")</x:f>
        <x:v>Introducing Microsoft Copilot for legal</x:v>
      </x:c>
      <x:c r="M28" s="25" t="str"/>
      <x:c r="N28" s="20" t="d">
        <x:v>2026-10-15T00:00:00.000Z</x:v>
      </x:c>
      <x:c r="O28" s="20" t="d">
        <x:v>2026-10-16T00:00:00.000Z</x:v>
      </x:c>
      <x:c r="P28" s="24" t="str">
        <x:v>COP-F07113B8C8</x:v>
      </x:c>
      <x:c r="Q28" s="19" t="str">
        <x:v>Planned preview</x:v>
      </x:c>
      <x:c r="R28" s="19" t="str"/>
      <x:c r="S28" s="19" t="str"/>
      <x:c r="T28" s="19" t="str"/>
      <x:c r="U28" s="20" t="d">
        <x:v>2026-10-15T00:00:00.000Z</x:v>
      </x:c>
    </x:row>
    <x:row r="29" ht="70" customHeight="1">
      <x:c r="A29" s="21" t="d">
        <x:v>2026-10-15T00:00:00.000Z</x:v>
      </x:c>
      <x:c r="B29" s="19" t="str">
        <x:v>Stated effective date. GA. Availability precision: Exact day</x:v>
      </x:c>
      <x:c r="C29" s="19" t="str">
        <x:v>Word legal plugin</x:v>
      </x:c>
      <x:c r="D29" s="19" t="str">
        <x:v>Native tracked redlines</x:v>
      </x:c>
      <x:c r="E29" s="19" t="str">
        <x:v>Suggested legal edits are inserted as tracked changes.</x:v>
      </x:c>
      <x:c r="F29" s="23" t="str">
        <x:v>High</x:v>
      </x:c>
      <x:c r="G29" s="19" t="str">
        <x:v>Keep proposed clause revisions reviewable in the same document used for negotiations.</x:v>
      </x:c>
      <x:c r="H29" s="19" t="str">
        <x:v>Keeps proposed contractual changes inspectable in the document's normal negotiation workflow.</x:v>
      </x:c>
      <x:c r="I29" s="19" t="str">
        <x:v>GA</x:v>
      </x:c>
      <x:c r="J29" s="19" t="str">
        <x:v>Microsoft 365 Copilot commercial
Word desktop</x:v>
      </x:c>
      <x:c r="K29" s="19" t="str">
        <x:v>2026-10-15</x:v>
      </x:c>
      <x:c r="L29" s="25" t="str">
        <x:f>IFERROR(HYPERLINK("https://techcommunity.microsoft.com/blog/microsoft-copilot-blog/introducing-microsoft-copilot-for-legal/4564246","Introducing Microsoft Copilot for legal"),"Introducing Microsoft Copilot for legal")</x:f>
        <x:v>Introducing Microsoft Copilot for legal</x:v>
      </x:c>
      <x:c r="M29" s="25" t="str">
        <x:f>IFERROR(HYPERLINK("https://support.microsoft.com/en-us/word/get-started-with-copilot-for-legal","Additional Microsoft source"),"Additional Microsoft source")</x:f>
        <x:v>Additional Microsoft source</x:v>
      </x:c>
      <x:c r="N29" s="20" t="d">
        <x:v>2026-10-15T00:00:00.000Z</x:v>
      </x:c>
      <x:c r="O29" s="20" t="d">
        <x:v>2026-10-16T00:00:00.000Z</x:v>
      </x:c>
      <x:c r="P29" s="24" t="str">
        <x:v>COP-4C01642861</x:v>
      </x:c>
      <x:c r="Q29" s="19" t="str">
        <x:v>GA</x:v>
      </x:c>
      <x:c r="R29" s="19" t="str">
        <x:v>Legal plugin defaults on in Word; human verification is essential. Launch date corroborated by October 15 announcement. Oct 15 launch establishes availability; undated support article verifies operational constraints.</x:v>
      </x:c>
      <x:c r="S29" s="19" t="str"/>
      <x:c r="T29" s="19" t="str"/>
      <x:c r="U29" s="20" t="d">
        <x:v>2026-10-15T00:00:00.000Z</x:v>
      </x:c>
    </x:row>
    <x:row r="30" ht="64" customHeight="1">
      <x:c r="A30" s="21" t="d">
        <x:v>2026-10-15T00:00:00.000Z</x:v>
      </x:c>
      <x:c r="B30" s="19" t="str">
        <x:v>Stated effective date. GA. Availability precision: Exact day</x:v>
      </x:c>
      <x:c r="C30" s="19" t="str">
        <x:v>Word legal plugin</x:v>
      </x:c>
      <x:c r="D30" s="19" t="str">
        <x:v>Playbook-based contract review</x:v>
      </x:c>
      <x:c r="E30" s="19" t="str">
        <x:v>Evaluate a contract against an uploaded DOCX playbook.</x:v>
      </x:c>
      <x:c r="F30" s="23" t="str">
        <x:v>High</x:v>
      </x:c>
      <x:c r="G30" s="19" t="str">
        <x:v>Apply an approved negotiating standard systematically before a lawyer reviews the exceptions.</x:v>
      </x:c>
      <x:c r="H30" s="19" t="str">
        <x:v>Applies a repeatable negotiating standard across contracts while surfacing exceptions for human judgment.</x:v>
      </x:c>
      <x:c r="I30" s="19" t="str">
        <x:v>GA</x:v>
      </x:c>
      <x:c r="J30" s="19" t="str">
        <x:v>Microsoft 365 Copilot commercial
Playbooks only; templates unsupported for review</x:v>
      </x:c>
      <x:c r="K30" s="19" t="str">
        <x:v>2026-10-15</x:v>
      </x:c>
      <x:c r="L30" s="25" t="str">
        <x:f>IFERROR(HYPERLINK("https://techcommunity.microsoft.com/blog/microsoft-copilot-blog/introducing-microsoft-copilot-for-legal/4564246","Introducing Microsoft Copilot for legal"),"Introducing Microsoft Copilot for legal")</x:f>
        <x:v>Introducing Microsoft Copilot for legal</x:v>
      </x:c>
      <x:c r="M30" s="25" t="str">
        <x:f>IFERROR(HYPERLINK("https://support.microsoft.com/en-us/word/get-started-with-copilot-for-legal","Additional Microsoft source"),"Additional Microsoft source")</x:f>
        <x:v>Additional Microsoft source</x:v>
      </x:c>
      <x:c r="N30" s="20" t="d">
        <x:v>2026-10-15T00:00:00.000Z</x:v>
      </x:c>
      <x:c r="O30" s="20" t="d">
        <x:v>2026-10-16T00:00:00.000Z</x:v>
      </x:c>
      <x:c r="P30" s="24" t="str">
        <x:v>COP-2FFC2CC1FB</x:v>
      </x:c>
      <x:c r="Q30" s="19" t="str">
        <x:v>GA</x:v>
      </x:c>
      <x:c r="R30" s="19" t="str">
        <x:v>Review extracted rules before running; review output before relying on it. Oct 15 launch establishes availability; undated support article verifies operational constraints.</x:v>
      </x:c>
      <x:c r="S30" s="19" t="str"/>
      <x:c r="T30" s="19" t="str"/>
      <x:c r="U30" s="20" t="d">
        <x:v>2026-10-15T00:00:00.000Z</x:v>
      </x:c>
    </x:row>
    <x:row r="31" ht="64" customHeight="1">
      <x:c r="A31" s="21" t="d">
        <x:v>2026-10-15T00:00:00.000Z</x:v>
      </x:c>
      <x:c r="B31" s="19" t="str">
        <x:v>Stated effective date. GA. Availability precision: Exact day</x:v>
      </x:c>
      <x:c r="C31" s="19" t="str">
        <x:v>Word legal plugin</x:v>
      </x:c>
      <x:c r="D31" s="19" t="str">
        <x:v>Precedent-based contract drafting</x:v>
      </x:c>
      <x:c r="E31" s="19" t="str">
        <x:v>Create structured placeholders from precedents or templates.</x:v>
      </x:c>
      <x:c r="F31" s="23" t="str">
        <x:v>High</x:v>
      </x:c>
      <x:c r="G31" s="19" t="str">
        <x:v>Reuse an approved agreement structure and keep repeated deal terms consistent during drafting.</x:v>
      </x:c>
      <x:c r="H31" s="19" t="str">
        <x:v>Reduces repetitive drafting and inconsistent repeated terms, without replacing legal review.</x:v>
      </x:c>
      <x:c r="I31" s="19" t="str">
        <x:v>GA</x:v>
      </x:c>
      <x:c r="J31" s="19" t="str">
        <x:v>Microsoft 365 Copilot commercial
Word desktop; distinct from playbook-only review restriction</x:v>
      </x:c>
      <x:c r="K31" s="19" t="str">
        <x:v>2026-10-15</x:v>
      </x:c>
      <x:c r="L31" s="25" t="str">
        <x:f>IFERROR(HYPERLINK("https://techcommunity.microsoft.com/blog/microsoft-copilot-blog/introducing-microsoft-copilot-for-legal/4564246","Introducing Microsoft Copilot for legal"),"Introducing Microsoft Copilot for legal")</x:f>
        <x:v>Introducing Microsoft Copilot for legal</x:v>
      </x:c>
      <x:c r="M31" s="25" t="str">
        <x:f>IFERROR(HYPERLINK("https://support.microsoft.com/en-us/word/get-started-with-copilot-for-legal","Additional Microsoft source"),"Additional Microsoft source")</x:f>
        <x:v>Additional Microsoft source</x:v>
      </x:c>
      <x:c r="N31" s="20" t="d">
        <x:v>2026-10-15T00:00:00.000Z</x:v>
      </x:c>
      <x:c r="O31" s="20" t="d">
        <x:v>2026-10-16T00:00:00.000Z</x:v>
      </x:c>
      <x:c r="P31" s="24" t="str">
        <x:v>COP-669130F50C</x:v>
      </x:c>
      <x:c r="Q31" s="19" t="str">
        <x:v>GA</x:v>
      </x:c>
      <x:c r="R31" s="19" t="str">
        <x:v>Human legal review remains required. Oct 15 launch establishes availability; undated support article verifies operational constraints.</x:v>
      </x:c>
      <x:c r="S31" s="19" t="str"/>
      <x:c r="T31" s="19" t="str"/>
      <x:c r="U31" s="20" t="d">
        <x:v>2026-10-15T00:00:00.000Z</x:v>
      </x:c>
    </x:row>
    <x:row r="32" ht="70" customHeight="1">
      <x:c r="A32" s="21" t="d">
        <x:v>2026-10-14T00:00:00.000Z</x:v>
      </x:c>
      <x:c r="B32" s="19" t="str">
        <x:v>Source report date. Planned new offers. Availability precision: Exact day</x:v>
      </x:c>
      <x:c r="C32" s="19" t="str">
        <x:v>Copilot licensing catalog</x:v>
      </x:c>
      <x:c r="D32" s="19" t="str">
        <x:v>Base-purchase prerequisite removed for new offers</x:v>
      </x:c>
      <x:c r="E32" s="19" t="str">
        <x:v>New offers remove qualifying-base purchase prerequisite at the same price.</x:v>
      </x:c>
      <x:c r="F32" s="23" t="str">
        <x:v>Medium</x:v>
      </x:c>
      <x:c r="G32" s="19" t="str">
        <x:v>Recheck a December procurement design without assuming the new SKU includes all Microsoft 365 apps.</x:v>
      </x:c>
      <x:c r="H32" s="19" t="str">
        <x:v>Broadens purchasing eligibility, but planning must still account for app-specific service rights. The productivity benefit is indirect and mainly affects administrators or purchasing decisions.</x:v>
      </x:c>
      <x:c r="I32" s="19" t="str">
        <x:v>Planned new offers</x:v>
      </x:c>
      <x:c r="J32" s="19" t="str">
        <x:v>App/service capabilities still depend on underlying licenses; new product and SKU IDs
All channels; commercial, education, government, nonprofit; current CSP add-ons end new saleDec1 but remain renewable.</x:v>
      </x:c>
      <x:c r="K32" s="19" t="str">
        <x:v>2026-12-01</x:v>
      </x:c>
      <x:c r="L32" s="25" t="str">
        <x:f>IFERROR(HYPERLINK("https://learn.microsoft.com/en-us/partner-center/announcements/2026-october","October 2026 Partner Center announcements"),"October 2026 Partner Center announcements")</x:f>
        <x:v>October 2026 Partner Center announcements</x:v>
      </x:c>
      <x:c r="M32" s="25" t="str"/>
      <x:c r="N32" s="20" t="d">
        <x:v>2026-10-14T00:00:00.000Z</x:v>
      </x:c>
      <x:c r="O32" s="20" t="d">
        <x:v>2026-10-16T00:00:00.000Z</x:v>
      </x:c>
      <x:c r="P32" s="24" t="str">
        <x:v>COP-728E8A6E2B</x:v>
      </x:c>
      <x:c r="Q32" s="19" t="str">
        <x:v>Planned new offers</x:v>
      </x:c>
      <x:c r="R32" s="19" t="str">
        <x:v>Purchase prerequisite change does not change underlying Copilot capabilities. New IDs expected ahead ofNov1 preview; no existing subscription action required.</x:v>
      </x:c>
      <x:c r="S32" s="19" t="str"/>
      <x:c r="T32" s="19" t="str"/>
      <x:c r="U32" s="20" t="d">
        <x:v>2026-10-14T00:00:00.000Z</x:v>
      </x:c>
    </x:row>
    <x:row r="33" ht="70" customHeight="1">
      <x:c r="A33" s="21" t="d">
        <x:v>2026-10-14T00:00:00.000Z</x:v>
      </x:c>
      <x:c r="B33" s="19" t="str">
        <x:v>Stated effective date. Frontier public rollout. Availability precision: Exact day</x:v>
      </x:c>
      <x:c r="C33" s="19" t="str">
        <x:v>SharePoint knowledge bases</x:v>
      </x:c>
      <x:c r="D33" s="19" t="str">
        <x:v>Agent-curated team knowledge</x:v>
      </x:c>
      <x:c r="E33" s="19" t="str">
        <x:v>Compile team context into linked Markdown knowledge.</x:v>
      </x:c>
      <x:c r="F33" s="23" t="str">
        <x:v>High</x:v>
      </x:c>
      <x:c r="G33" s="19" t="str">
        <x:v>Build a shared contextual base for project assistants rather than repeatedly supplying scattered source files.</x:v>
      </x:c>
      <x:c r="H33" s="19" t="str">
        <x:v>Creates shared reusable context that can improve consistency across people and agents, subject to preview controls.</x:v>
      </x:c>
      <x:c r="I33" s="19" t="str">
        <x:v>Frontier public rollout</x:v>
      </x:c>
      <x:c r="J33" s="19" t="str">
        <x:v>Usage-based billing enabled; preview terms may change
Autopilot integration has separate access cadence</x:v>
      </x:c>
      <x:c r="K33" s="19" t="str">
        <x:v>2026-10-14</x:v>
      </x:c>
      <x:c r="L33" s="25" t="str">
        <x:f>IFERROR(HYPERLINK("https://techcommunity.microsoft.com/blog/spblog/introducing-a-team-knowledge-base-curated-by-copilot-and-agents/4564203","Introducing a team knowledge base, curated by Copilot and agents"),"Introducing a team knowledge base, curated by Copilot and agents")</x:f>
        <x:v>Introducing a team knowledge base, curated by Copilot and agents</x:v>
      </x:c>
      <x:c r="M33" s="25" t="str"/>
      <x:c r="N33" s="20" t="d">
        <x:v>2026-10-14T00:00:00.000Z</x:v>
      </x:c>
      <x:c r="O33" s="20" t="d">
        <x:v>2026-10-16T00:00:00.000Z</x:v>
      </x:c>
      <x:c r="P33" s="24" t="str">
        <x:v>COP-2BF5F3BE2F</x:v>
      </x:c>
      <x:c r="Q33" s="19" t="str">
        <x:v>Frontier public rollout</x:v>
      </x:c>
      <x:c r="R33" s="19" t="str"/>
      <x:c r="S33" s="19" t="str"/>
      <x:c r="T33" s="19" t="str"/>
      <x:c r="U33" s="20" t="d">
        <x:v>2026-10-14T00:00:00.000Z</x:v>
      </x:c>
    </x:row>
    <x:row r="34" ht="70" customHeight="1">
      <x:c r="A34" s="21" t="d">
        <x:v>2026-10-14T00:00:00.000Z</x:v>
      </x:c>
      <x:c r="B34" s="19" t="str">
        <x:v>Stated effective date. Released per dated changelog. Availability precision: Exact day</x:v>
      </x:c>
      <x:c r="C34" s="19" t="str">
        <x:v>Teams Phone Agent</x:v>
      </x:c>
      <x:c r="D34" s="19" t="str">
        <x:v>Expanded voice selection</x:v>
      </x:c>
      <x:c r="E34" s="19" t="str">
        <x:v>Voice catalog grows to 42, including 33 additions.</x:v>
      </x:c>
      <x:c r="F34" s="23" t="str">
        <x:v>Low</x:v>
      </x:c>
      <x:c r="G34" s="19" t="str">
        <x:v>Choose a voice that suits a customer-service line after testing intelligibility.</x:v>
      </x:c>
      <x:c r="H34" s="19" t="str">
        <x:v>Improves caller experience selection without changing routing or task capabilities.</x:v>
      </x:c>
      <x:c r="I34" s="19" t="str">
        <x:v>Released per dated changelog</x:v>
      </x:c>
      <x:c r="J34" s="19" t="str">
        <x:v>Teams Phone prerequisites; funded Copilot Credits spending policy
India unsupported; voice/language compatibility requires checking.</x:v>
      </x:c>
      <x:c r="K34" s="19" t="str">
        <x:v>2026-10-14</x:v>
      </x:c>
      <x:c r="L34" s="25" t="str">
        <x:f>IFERROR(HYPERLINK("https://learn.microsoft.com/en-us/microsoftteams/aa-cq-setup-teams-phone-agent","Setup - Teams Phone Agent"),"Setup - Teams Phone Agent")</x:f>
        <x:v>Setup - Teams Phone Agent</x:v>
      </x:c>
      <x:c r="M34" s="25" t="str"/>
      <x:c r="N34" s="20" t="d">
        <x:v>2026-10-14T00:00:00.000Z</x:v>
      </x:c>
      <x:c r="O34" s="20" t="d">
        <x:v>2026-10-16T00:00:00.000Z</x:v>
      </x:c>
      <x:c r="P34" s="24" t="str">
        <x:v>COP-6DCFDB5B68</x:v>
      </x:c>
      <x:c r="Q34" s="19" t="str">
        <x:v>Released per dated changelog</x:v>
      </x:c>
      <x:c r="R34" s="19" t="str">
        <x:v>Exact dated changelog entry; not inferred from the page update timestamp.</x:v>
      </x:c>
      <x:c r="S34" s="19" t="str"/>
      <x:c r="T34" s="19" t="str"/>
      <x:c r="U34" s="20" t="d">
        <x:v>2026-10-14T00:00:00.000Z</x:v>
      </x:c>
    </x:row>
    <x:row r="35" ht="70" customHeight="1">
      <x:c r="A35" s="21" t="d">
        <x:v>2026-10-13T00:00:00.000Z</x:v>
      </x:c>
      <x:c r="B35" s="19" t="str">
        <x:v>Stated effective date. Announced enforcement layer. Availability precision: Exact day</x:v>
      </x:c>
      <x:c r="C35" s="19" t="str">
        <x:v>Copilot security</x:v>
      </x:c>
      <x:c r="D35" s="19" t="str">
        <x:v>Trust-aware content processing</x:v>
      </x:c>
      <x:c r="E35" s="19" t="str">
        <x:v>Isolate and constrain untrusted grounding content.</x:v>
      </x:c>
      <x:c r="F35" s="23" t="str">
        <x:v>High</x:v>
      </x:c>
      <x:c r="G35" s="19" t="str">
        <x:v>Review tenant protection settings before depending on AI to process external documents or email.</x:v>
      </x:c>
      <x:c r="H35" s="19" t="str">
        <x:v>Addresses the business risk of malicious instructions hidden inside external material.</x:v>
      </x:c>
      <x:c r="I35" s="19" t="str">
        <x:v>Announced enforcement layer</x:v>
      </x:c>
      <x:c r="J35" s="19" t="str">
        <x:v>Applicable tenant protection configuration
Release status and tenant behavior vary</x:v>
      </x:c>
      <x:c r="K35" s="19" t="str">
        <x:v>2026-10-13</x:v>
      </x:c>
      <x:c r="L35" s="25" t="str">
        <x:f>IFERROR(HYPERLINK("https://techcommunity.microsoft.com/blog/microsoft-copilot-blog/building-trust-aware-controls-for-ai-differentiated-handling-of-untrusted-conten/4562160","Building Trust-Aware Controls for AI"),"Building Trust-Aware Controls for AI")</x:f>
        <x:v>Building Trust-Aware Controls for AI</x:v>
      </x:c>
      <x:c r="M35" s="25" t="str"/>
      <x:c r="N35" s="20" t="d">
        <x:v>2026-10-13T00:00:00.000Z</x:v>
      </x:c>
      <x:c r="O35" s="20" t="d">
        <x:v>2026-10-16T00:00:00.000Z</x:v>
      </x:c>
      <x:c r="P35" s="24" t="str">
        <x:v>COP-2D5C5FC430</x:v>
      </x:c>
      <x:c r="Q35" s="19" t="str">
        <x:v>Announced enforcement layer</x:v>
      </x:c>
      <x:c r="R35" s="19" t="str">
        <x:v>Source points to Outlook sender settings and CVE-2026-55145; mitigation reduces risk, not a guarantee against prompt injection.</x:v>
      </x:c>
      <x:c r="S35" s="19" t="str"/>
      <x:c r="T35" s="19" t="str"/>
      <x:c r="U35" s="20" t="d">
        <x:v>2026-10-13T00:00:00.000Z</x:v>
      </x:c>
    </x:row>
    <x:row r="36" ht="64" customHeight="1">
      <x:c r="A36" s="21" t="d">
        <x:v>2026-10-12T00:00:00.000Z</x:v>
      </x:c>
      <x:c r="B36" s="19" t="str">
        <x:v>Source report date. GA rollout started. Availability precision: Month only</x:v>
      </x:c>
      <x:c r="C36" s="19" t="str">
        <x:v>Excel</x:v>
      </x:c>
      <x:c r="D36" s="19" t="str">
        <x:v>Clean Data workflow</x:v>
      </x:c>
      <x:c r="E36" s="19" t="str">
        <x:v>Identify inconsistent values, types, formatting, and duplicates.</x:v>
      </x:c>
      <x:c r="F36" s="23" t="str">
        <x:v>High</x:v>
      </x:c>
      <x:c r="G36" s="19" t="str">
        <x:v>Find and review data-quality issues before producing a model or management report.</x:v>
      </x:c>
      <x:c r="H36" s="19" t="str">
        <x:v>Targets repetitive preparation that often consumes much of an analyst's time.</x:v>
      </x:c>
      <x:c r="I36" s="19" t="str">
        <x:v>GA rollout started</x:v>
      </x:c>
      <x:c r="J36" s="19" t="str">
        <x:v>Microsoft 365 Copilot; confirm tenant entitlement
Not specified in announcement; verify tenant availability</x:v>
      </x:c>
      <x:c r="K36" s="19" t="str">
        <x:v>2026-10</x:v>
      </x:c>
      <x:c r="L36" s="25" t="str">
        <x:f>IFERROR(HYPERLINK("https://techcommunity.microsoft.com/blog/excelblog/beyond-analysis-copilot-gets-to-work-in-excel/4517581","Beyond Analysis: Copilot Gets to Work in Excel"),"Beyond Analysis: Copilot Gets to Work in Excel")</x:f>
        <x:v>Beyond Analysis: Copilot Gets to Work in Excel</x:v>
      </x:c>
      <x:c r="M36" s="25" t="str"/>
      <x:c r="N36" s="20" t="d">
        <x:v>2026-10-12T00:00:00.000Z</x:v>
      </x:c>
      <x:c r="O36" s="20" t="d">
        <x:v>2026-10-16T00:00:00.000Z</x:v>
      </x:c>
      <x:c r="P36" s="24" t="str">
        <x:v>COP-96449EC9CE</x:v>
      </x:c>
      <x:c r="Q36" s="19" t="str">
        <x:v>GA rollout started</x:v>
      </x:c>
      <x:c r="R36" s="19" t="str"/>
      <x:c r="S36" s="19" t="str"/>
      <x:c r="T36" s="19" t="str"/>
      <x:c r="U36" s="20" t="d">
        <x:v>2026-10-12T00:00:00.000Z</x:v>
      </x:c>
    </x:row>
    <x:row r="37" ht="70" customHeight="1">
      <x:c r="A37" s="21" t="d">
        <x:v>2026-10-12T00:00:00.000Z</x:v>
      </x:c>
      <x:c r="B37" s="19" t="str">
        <x:v>Source report date. Planned GA rollout. Availability precision: Window / relative timing</x:v>
      </x:c>
      <x:c r="C37" s="19" t="str">
        <x:v>Excel</x:v>
      </x:c>
      <x:c r="D37" s="19" t="str">
        <x:v>Conversational Get Data</x:v>
      </x:c>
      <x:c r="E37" s="19" t="str">
        <x:v>Create data acquisition and shaping steps conversationally.</x:v>
      </x:c>
      <x:c r="F37" s="23" t="str">
        <x:v>High</x:v>
      </x:c>
      <x:c r="G37" s="19" t="str">
        <x:v>Reduce the Power Query expertise needed to prepare a recurring operational dataset.</x:v>
      </x:c>
      <x:c r="H37" s="19" t="str">
        <x:v>Could replace several manual import steps, but planned release timing is not proof of access.</x:v>
      </x:c>
      <x:c r="I37" s="19" t="str">
        <x:v>Planned GA rollout</x:v>
      </x:c>
      <x:c r="J37" s="19" t="str">
        <x:v>Microsoft 365 Copilot
Web app</x:v>
      </x:c>
      <x:c r="K37" s="19" t="str">
        <x:v>Mid-October 2026</x:v>
      </x:c>
      <x:c r="L37" s="25" t="str">
        <x:f>IFERROR(HYPERLINK("https://techcommunity.microsoft.com/blog/excelblog/beyond-analysis-copilot-gets-to-work-in-excel/4517581","Beyond Analysis: Copilot Gets to Work in Excel"),"Beyond Analysis: Copilot Gets to Work in Excel")</x:f>
        <x:v>Beyond Analysis: Copilot Gets to Work in Excel</x:v>
      </x:c>
      <x:c r="M37" s="25" t="str"/>
      <x:c r="N37" s="20" t="d">
        <x:v>2026-10-12T00:00:00.000Z</x:v>
      </x:c>
      <x:c r="O37" s="20" t="d">
        <x:v>2026-10-16T00:00:00.000Z</x:v>
      </x:c>
      <x:c r="P37" s="24" t="str">
        <x:v>COP-4AA811200E</x:v>
      </x:c>
      <x:c r="Q37" s="19" t="str">
        <x:v>Planned GA rollout</x:v>
      </x:c>
      <x:c r="R37" s="19" t="str">
        <x:v>Announcement specifies mid-October; no completion claim verified as of October 16.</x:v>
      </x:c>
      <x:c r="S37" s="19" t="str"/>
      <x:c r="T37" s="19" t="str"/>
      <x:c r="U37" s="20" t="d">
        <x:v>2026-10-12T00:00:00.000Z</x:v>
      </x:c>
    </x:row>
    <x:row r="38" ht="64" customHeight="1">
      <x:c r="A38" s="21" t="d">
        <x:v>2026-10-12T00:00:00.000Z</x:v>
      </x:c>
      <x:c r="B38" s="19" t="str">
        <x:v>Source report date. GA rollout started. Availability precision: Month only</x:v>
      </x:c>
      <x:c r="C38" s="19" t="str">
        <x:v>Excel</x:v>
      </x:c>
      <x:c r="D38" s="19" t="str">
        <x:v>Conversational skill builder</x:v>
      </x:c>
      <x:c r="E38" s="19" t="str">
        <x:v>Convert workflow instructions into reusable skills.</x:v>
      </x:c>
      <x:c r="F38" s="23" t="str">
        <x:v>High</x:v>
      </x:c>
      <x:c r="G38" s="19" t="str">
        <x:v>Capture a monthly reporting method once, then reuse it across future analysis cycles.</x:v>
      </x:c>
      <x:c r="H38" s="19" t="str">
        <x:v>Makes a recurring spreadsheet procedure reusable instead of requiring repeated prompting.</x:v>
      </x:c>
      <x:c r="I38" s="19" t="str">
        <x:v>GA rollout started</x:v>
      </x:c>
      <x:c r="J38" s="19" t="str">
        <x:v>Microsoft 365 Copilot; confirm tenant entitlement
Capacity and usage limits apply</x:v>
      </x:c>
      <x:c r="K38" s="19" t="str">
        <x:v>2026-10</x:v>
      </x:c>
      <x:c r="L38" s="25" t="str">
        <x:f>IFERROR(HYPERLINK("https://techcommunity.microsoft.com/blog/excelblog/beyond-analysis-copilot-gets-to-work-in-excel/4517581","Beyond Analysis: Copilot Gets to Work in Excel"),"Beyond Analysis: Copilot Gets to Work in Excel")</x:f>
        <x:v>Beyond Analysis: Copilot Gets to Work in Excel</x:v>
      </x:c>
      <x:c r="M38" s="25" t="str"/>
      <x:c r="N38" s="20" t="d">
        <x:v>2026-10-12T00:00:00.000Z</x:v>
      </x:c>
      <x:c r="O38" s="20" t="d">
        <x:v>2026-10-16T00:00:00.000Z</x:v>
      </x:c>
      <x:c r="P38" s="24" t="str">
        <x:v>COP-B556F675F3</x:v>
      </x:c>
      <x:c r="Q38" s="19" t="str">
        <x:v>GA rollout started</x:v>
      </x:c>
      <x:c r="R38" s="19"/>
      <x:c r="S38" s="19"/>
      <x:c r="T38" s="19" t="str"/>
      <x:c r="U38" s="20" t="d">
        <x:v>2026-10-12T00:00:00.000Z</x:v>
      </x:c>
    </x:row>
    <x:row r="39" ht="64" customHeight="1">
      <x:c r="A39" s="21" t="d">
        <x:v>2026-10-12T00:00:00.000Z</x:v>
      </x:c>
      <x:c r="B39" s="19" t="str">
        <x:v>Stated effective date. Insiders. Availability precision: Exact day</x:v>
      </x:c>
      <x:c r="C39" s="19" t="str">
        <x:v>Excel</x:v>
      </x:c>
      <x:c r="D39" s="19" t="str">
        <x:v>Interactive canvas</x:v>
      </x:c>
      <x:c r="E39" s="19" t="str">
        <x:v>Create workbook-connected interactive reports.</x:v>
      </x:c>
      <x:c r="F39" s="23" t="str">
        <x:v>High</x:v>
      </x:c>
      <x:c r="G39" s="19" t="str">
        <x:v>Replace static screenshots with an executive view that stays linked to the working data.</x:v>
      </x:c>
      <x:c r="H39" s="19" t="str">
        <x:v>Turns a static workbook into an explorable presentation of results, subject to preview limits.</x:v>
      </x:c>
      <x:c r="I39" s="19" t="str">
        <x:v>Insiders</x:v>
      </x:c>
      <x:c r="J39" s="19" t="str">
        <x:v>Microsoft 365 Copilot; confirm tenant entitlement
Insider availability; broader release unspecified</x:v>
      </x:c>
      <x:c r="K39" s="19" t="str">
        <x:v>2026-10-12</x:v>
      </x:c>
      <x:c r="L39" s="25" t="str">
        <x:f>IFERROR(HYPERLINK("https://techcommunity.microsoft.com/blog/excelblog/beyond-analysis-copilot-gets-to-work-in-excel/4517581","Beyond Analysis: Copilot Gets to Work in Excel"),"Beyond Analysis: Copilot Gets to Work in Excel")</x:f>
        <x:v>Beyond Analysis: Copilot Gets to Work in Excel</x:v>
      </x:c>
      <x:c r="M39" s="25" t="str"/>
      <x:c r="N39" s="20" t="d">
        <x:v>2026-10-12T00:00:00.000Z</x:v>
      </x:c>
      <x:c r="O39" s="20" t="d">
        <x:v>2026-10-16T00:00:00.000Z</x:v>
      </x:c>
      <x:c r="P39" s="24" t="str">
        <x:v>COP-590234EE25</x:v>
      </x:c>
      <x:c r="Q39" s="19" t="str">
        <x:v>Insiders</x:v>
      </x:c>
      <x:c r="R39" s="19"/>
      <x:c r="S39" s="19" t="str"/>
      <x:c r="T39" s="19"/>
      <x:c r="U39" s="20" t="d">
        <x:v>2026-10-12T00:00:00.000Z</x:v>
      </x:c>
    </x:row>
    <x:row r="40" ht="70" customHeight="1">
      <x:c r="A40" s="21" t="d">
        <x:v>2026-10-12T00:00:00.000Z</x:v>
      </x:c>
      <x:c r="B40" s="19" t="str">
        <x:v>Source report date. Planned Insiders. Availability precision: Window / relative timing</x:v>
      </x:c>
      <x:c r="C40" s="19" t="str">
        <x:v>Excel</x:v>
      </x:c>
      <x:c r="D40" s="19" t="str">
        <x:v>Skill recorder</x:v>
      </x:c>
      <x:c r="E40" s="19" t="str">
        <x:v>Learn reusable workflows from demonstrated actions.</x:v>
      </x:c>
      <x:c r="F40" s="23" t="str">
        <x:v>High</x:v>
      </x:c>
      <x:c r="G40" s="19" t="str">
        <x:v>Teach a repeatable workbook preparation sequence by doing it once.</x:v>
      </x:c>
      <x:c r="H40" s="19" t="str">
        <x:v>Could reduce the effort to codify repeatable spreadsheet tasks once the planned preview arrives.</x:v>
      </x:c>
      <x:c r="I40" s="19" t="str">
        <x:v>Planned Insiders</x:v>
      </x:c>
      <x:c r="J40" s="19" t="str">
        <x:v>Microsoft 365 Copilot; capacity and usage limits
Not confirmed released by October 16</x:v>
      </x:c>
      <x:c r="K40" s="19" t="str">
        <x:v>Late October 2026</x:v>
      </x:c>
      <x:c r="L40" s="25" t="str">
        <x:f>IFERROR(HYPERLINK("https://techcommunity.microsoft.com/blog/excelblog/beyond-analysis-copilot-gets-to-work-in-excel/4517581","Beyond Analysis: Copilot Gets to Work in Excel"),"Beyond Analysis: Copilot Gets to Work in Excel")</x:f>
        <x:v>Beyond Analysis: Copilot Gets to Work in Excel</x:v>
      </x:c>
      <x:c r="M40" s="25" t="str"/>
      <x:c r="N40" s="20" t="d">
        <x:v>2026-10-12T00:00:00.000Z</x:v>
      </x:c>
      <x:c r="O40" s="20" t="d">
        <x:v>2026-10-16T00:00:00.000Z</x:v>
      </x:c>
      <x:c r="P40" s="24" t="str">
        <x:v>COP-BBC1312A5A</x:v>
      </x:c>
      <x:c r="Q40" s="19" t="str">
        <x:v>Planned Insiders</x:v>
      </x:c>
      <x:c r="R40" s="19" t="str">
        <x:v>Source explicitly schedules Insiders by end of October.</x:v>
      </x:c>
      <x:c r="S40" s="19"/>
      <x:c r="T40" s="19"/>
      <x:c r="U40" s="20" t="d">
        <x:v>2026-10-12T00:00:00.000Z</x:v>
      </x:c>
    </x:row>
    <x:row r="41" ht="64" customHeight="1">
      <x:c r="A41" s="21" t="d">
        <x:v>2026-10-09T00:00:00.000Z</x:v>
      </x:c>
      <x:c r="B41" s="19" t="str">
        <x:v>Stated effective date. Frontier rollout. Availability precision: Exact day</x:v>
      </x:c>
      <x:c r="C41" s="19" t="str">
        <x:v>Copilot Library</x:v>
      </x:c>
      <x:c r="D41" s="19" t="str">
        <x:v>Connected Office files</x:v>
      </x:c>
      <x:c r="E41" s="19" t="str">
        <x:v>Reopen or create files with preserved permissions and history.</x:v>
      </x:c>
      <x:c r="F41" s="23" t="str">
        <x:v>Medium</x:v>
      </x:c>
      <x:c r="G41" s="19" t="str">
        <x:v>Resume work from a consistent file location without proliferating disconnected draft versions.</x:v>
      </x:c>
      <x:c r="H41" s="19" t="str">
        <x:v>Improves continuity between generated output, storage, later editing, and version recovery.</x:v>
      </x:c>
      <x:c r="I41" s="19" t="str">
        <x:v>Frontier rollout</x:v>
      </x:c>
      <x:c r="J41" s="19" t="str">
        <x:v>Microsoft 365 Copilot; confirm tenant entitlement
Files stored in OneDrive</x:v>
      </x:c>
      <x:c r="K41" s="19" t="str">
        <x:v>2026-10-09</x:v>
      </x:c>
      <x:c r="L41" s="25" t="str">
        <x:f>IFERROR(HYPERLINK("https://techcommunity.microsoft.com/blog/microsoft-copilot-blog/introducing-office-in-the-new-microsoft-copilot-app/4561230","Introducing Office in the new Microsoft Copilot app"),"Introducing Office in the new Microsoft Copilot app")</x:f>
        <x:v>Introducing Office in the new Microsoft Copilot app</x:v>
      </x:c>
      <x:c r="M41" s="25" t="str"/>
      <x:c r="N41" s="20" t="d">
        <x:v>2026-10-09T00:00:00.000Z</x:v>
      </x:c>
      <x:c r="O41" s="20" t="d">
        <x:v>2026-10-16T00:00:00.000Z</x:v>
      </x:c>
      <x:c r="P41" s="24" t="str">
        <x:v>COP-A735782D5D</x:v>
      </x:c>
      <x:c r="Q41" s="19" t="str">
        <x:v>Frontier rollout</x:v>
      </x:c>
      <x:c r="R41" s="19"/>
      <x:c r="S41" s="19" t="str"/>
      <x:c r="T41" s="19"/>
      <x:c r="U41" s="20" t="d">
        <x:v>2026-10-09T00:00:00.000Z</x:v>
      </x:c>
    </x:row>
    <x:row r="42" ht="70" customHeight="1">
      <x:c r="A42" s="21" t="d">
        <x:v>2026-10-09T00:00:00.000Z</x:v>
      </x:c>
      <x:c r="B42" s="19" t="str">
        <x:v>Source report date. Planned Frontier. Availability precision: Window / relative timing</x:v>
      </x:c>
      <x:c r="C42" s="19" t="str">
        <x:v>Copilot Notebooks</x:v>
      </x:c>
      <x:c r="D42" s="19" t="str">
        <x:v>Expanded audio overviews</x:v>
      </x:c>
      <x:c r="E42" s="19" t="str">
        <x:v>Additional source types, debate formats, episodes, and OneDrive export.</x:v>
      </x:c>
      <x:c r="F42" s="23" t="str">
        <x:v>Medium</x:v>
      </x:c>
      <x:c r="G42" s="19" t="str">
        <x:v>Review project arguments in audio form while preserving an organized reference base.</x:v>
      </x:c>
      <x:c r="H42" s="19" t="str">
        <x:v>Could improve accessibility and briefing flexibility once the announced expansion becomes available.</x:v>
      </x:c>
      <x:c r="I42" s="19" t="str">
        <x:v>Planned Frontier</x:v>
      </x:c>
      <x:c r="J42" s="19" t="str">
        <x:v>Microsoft 365 Copilot; confirm tenant entitlement
Not confirmed shipped by cutoff</x:v>
      </x:c>
      <x:c r="K42" s="19" t="str">
        <x:v>Weeks after October 9</x:v>
      </x:c>
      <x:c r="L42" s="25" t="str">
        <x:f>IFERROR(HYPERLINK("https://techcommunity.microsoft.com/blog/microsoft-copilot-blog/whats-new-in-notebooks--october-2026/4559105","What’s New in Notebooks | October 2026"),"What’s New in Notebooks | October 2026")</x:f>
        <x:v>What’s New in Notebooks | October 2026</x:v>
      </x:c>
      <x:c r="M42" s="25" t="str"/>
      <x:c r="N42" s="20" t="d">
        <x:v>2026-10-09T00:00:00.000Z</x:v>
      </x:c>
      <x:c r="O42" s="20" t="d">
        <x:v>2026-10-16T00:00:00.000Z</x:v>
      </x:c>
      <x:c r="P42" s="24" t="str">
        <x:v>COP-6D1F3CBA63</x:v>
      </x:c>
      <x:c r="Q42" s="19" t="str">
        <x:v>Planned Frontier</x:v>
      </x:c>
      <x:c r="R42" s="19"/>
      <x:c r="S42" s="19" t="str"/>
      <x:c r="T42" s="19"/>
      <x:c r="U42" s="20" t="d">
        <x:v>2026-10-09T00:00:00.000Z</x:v>
      </x:c>
    </x:row>
    <x:row r="43" ht="64" customHeight="1">
      <x:c r="A43" s="21" t="d">
        <x:v>2026-10-09T00:00:00.000Z</x:v>
      </x:c>
      <x:c r="B43" s="19" t="str">
        <x:v>Stated effective date. Frontier. Availability precision: Exact day</x:v>
      </x:c>
      <x:c r="C43" s="19" t="str">
        <x:v>Copilot Notebooks</x:v>
      </x:c>
      <x:c r="D43" s="19" t="str">
        <x:v>In-context task execution</x:v>
      </x:c>
      <x:c r="E43" s="19" t="str">
        <x:v>Manage references and create or edit single files.</x:v>
      </x:c>
      <x:c r="F43" s="23" t="str">
        <x:v>High</x:v>
      </x:c>
      <x:c r="G43" s="19" t="str">
        <x:v>Move from project evidence to a concrete deliverable without exporting the notebook context.</x:v>
      </x:c>
      <x:c r="H43" s="19" t="str">
        <x:v>Moves a notebook from collecting context toward doing bounded work using that context.</x:v>
      </x:c>
      <x:c r="I43" s="19" t="str">
        <x:v>Frontier</x:v>
      </x:c>
      <x:c r="J43" s="19" t="str">
        <x:v>Microsoft 365 Copilot; confirm tenant entitlement
Not specified in announcement; verify tenant availability</x:v>
      </x:c>
      <x:c r="K43" s="19" t="str">
        <x:v>2026-10-09</x:v>
      </x:c>
      <x:c r="L43" s="25" t="str">
        <x:f>IFERROR(HYPERLINK("https://techcommunity.microsoft.com/blog/microsoft-copilot-blog/whats-new-in-notebooks--october-2026/4559105","What’s New in Notebooks | October 2026"),"What’s New in Notebooks | October 2026")</x:f>
        <x:v>What’s New in Notebooks | October 2026</x:v>
      </x:c>
      <x:c r="M43" s="25" t="str"/>
      <x:c r="N43" s="20" t="d">
        <x:v>2026-10-09T00:00:00.000Z</x:v>
      </x:c>
      <x:c r="O43" s="20" t="d">
        <x:v>2026-10-16T00:00:00.000Z</x:v>
      </x:c>
      <x:c r="P43" s="24" t="str">
        <x:v>COP-1430659C0C</x:v>
      </x:c>
      <x:c r="Q43" s="19" t="str">
        <x:v>Frontier</x:v>
      </x:c>
      <x:c r="R43" s="19"/>
      <x:c r="S43" s="19" t="str"/>
      <x:c r="T43" s="19" t="str"/>
      <x:c r="U43" s="20" t="d">
        <x:v>2026-10-09T00:00:00.000Z</x:v>
      </x:c>
    </x:row>
    <x:row r="44" ht="64" customHeight="1">
      <x:c r="A44" s="21" t="d">
        <x:v>2026-10-09T00:00:00.000Z</x:v>
      </x:c>
      <x:c r="B44" s="19" t="str">
        <x:v>Stated effective date. Frontier. Availability precision: Exact day</x:v>
      </x:c>
      <x:c r="C44" s="19" t="str">
        <x:v>Copilot Notebooks</x:v>
      </x:c>
      <x:c r="D44" s="19" t="str">
        <x:v>Interactive and PDF outputs</x:v>
      </x:c>
      <x:c r="E44" s="19" t="str">
        <x:v>Create interactive reports or PDF deliverables.</x:v>
      </x:c>
      <x:c r="F44" s="23" t="str">
        <x:v>Medium</x:v>
      </x:c>
      <x:c r="G44" s="19" t="str">
        <x:v>Produce a shareable decision brief directly from project evidence.</x:v>
      </x:c>
      <x:c r="H44" s="19" t="str">
        <x:v>Makes notebook results easier to explore or hand off in formats colleagues can use.</x:v>
      </x:c>
      <x:c r="I44" s="19" t="str">
        <x:v>Frontier</x:v>
      </x:c>
      <x:c r="J44" s="19" t="str">
        <x:v>Microsoft 365 Copilot; confirm tenant entitlement
Not specified in announcement; verify tenant availability</x:v>
      </x:c>
      <x:c r="K44" s="19" t="str">
        <x:v>2026-10-09</x:v>
      </x:c>
      <x:c r="L44" s="25" t="str">
        <x:f>IFERROR(HYPERLINK("https://techcommunity.microsoft.com/blog/microsoft-copilot-blog/whats-new-in-notebooks--october-2026/4559105","What’s New in Notebooks | October 2026"),"What’s New in Notebooks | October 2026")</x:f>
        <x:v>What’s New in Notebooks | October 2026</x:v>
      </x:c>
      <x:c r="M44" s="25" t="str"/>
      <x:c r="N44" s="20" t="d">
        <x:v>2026-10-09T00:00:00.000Z</x:v>
      </x:c>
      <x:c r="O44" s="20" t="d">
        <x:v>2026-10-16T00:00:00.000Z</x:v>
      </x:c>
      <x:c r="P44" s="24" t="str">
        <x:v>COP-3EFDAC42B7</x:v>
      </x:c>
      <x:c r="Q44" s="19" t="str">
        <x:v>Frontier</x:v>
      </x:c>
      <x:c r="R44" s="19" t="str"/>
      <x:c r="S44" s="19" t="str"/>
      <x:c r="T44" s="19" t="str"/>
      <x:c r="U44" s="20" t="d">
        <x:v>2026-10-09T00:00:00.000Z</x:v>
      </x:c>
    </x:row>
    <x:row r="45" ht="64" customHeight="1">
      <x:c r="A45" s="21" t="d">
        <x:v>2026-10-09T00:00:00.000Z</x:v>
      </x:c>
      <x:c r="B45" s="19" t="str">
        <x:v>Stated effective date. Frontier. Availability precision: Exact day</x:v>
      </x:c>
      <x:c r="C45" s="19" t="str">
        <x:v>Copilot Notebooks</x:v>
      </x:c>
      <x:c r="D45" s="19" t="str">
        <x:v>Model choice</x:v>
      </x:c>
      <x:c r="E45" s="19" t="str">
        <x:v>Choose a model for notebook conversations.</x:v>
      </x:c>
      <x:c r="F45" s="23" t="str">
        <x:v>Medium</x:v>
      </x:c>
      <x:c r="G45" s="19" t="str">
        <x:v>Use deeper reasoning for difficult synthesis while testing faster options for routine questions.</x:v>
      </x:c>
      <x:c r="H45" s="19" t="str">
        <x:v>Lets users compare approaches within the same bounded research context.</x:v>
      </x:c>
      <x:c r="I45" s="19" t="str">
        <x:v>Frontier</x:v>
      </x:c>
      <x:c r="J45" s="19" t="str">
        <x:v>Microsoft 365 Copilot; confirm tenant entitlement
Not specified in announcement; verify tenant availability</x:v>
      </x:c>
      <x:c r="K45" s="19" t="str">
        <x:v>2026-10-09</x:v>
      </x:c>
      <x:c r="L45" s="25" t="str">
        <x:f>IFERROR(HYPERLINK("https://techcommunity.microsoft.com/blog/microsoft-copilot-blog/whats-new-in-notebooks--october-2026/4559105","What’s New in Notebooks | October 2026"),"What’s New in Notebooks | October 2026")</x:f>
        <x:v>What’s New in Notebooks | October 2026</x:v>
      </x:c>
      <x:c r="M45" s="25" t="str"/>
      <x:c r="N45" s="20" t="d">
        <x:v>2026-10-09T00:00:00.000Z</x:v>
      </x:c>
      <x:c r="O45" s="20" t="d">
        <x:v>2026-10-16T00:00:00.000Z</x:v>
      </x:c>
      <x:c r="P45" s="24" t="str">
        <x:v>COP-09BD83E127</x:v>
      </x:c>
      <x:c r="Q45" s="19" t="str">
        <x:v>Frontier</x:v>
      </x:c>
      <x:c r="R45" s="19" t="str"/>
      <x:c r="S45" s="19" t="str"/>
      <x:c r="T45" s="19" t="str"/>
      <x:c r="U45" s="20" t="d">
        <x:v>2026-10-09T00:00:00.000Z</x:v>
      </x:c>
    </x:row>
    <x:row r="46" ht="70" customHeight="1">
      <x:c r="A46" s="21" t="d">
        <x:v>2026-10-09T00:00:00.000Z</x:v>
      </x:c>
      <x:c r="B46" s="19" t="str">
        <x:v>Source report date. Planned Frontier. Availability precision: Window / relative timing</x:v>
      </x:c>
      <x:c r="C46" s="19" t="str">
        <x:v>Copilot Notebooks</x:v>
      </x:c>
      <x:c r="D46" s="19" t="str">
        <x:v>Notebook creation by goal</x:v>
      </x:c>
      <x:c r="E46" s="19" t="str">
        <x:v>Assemble a notebook with relevant initial references.</x:v>
      </x:c>
      <x:c r="F46" s="23" t="str">
        <x:v>Medium</x:v>
      </x:c>
      <x:c r="G46" s="19" t="str">
        <x:v>Start client discovery with a populated research workspace rather than an empty container.</x:v>
      </x:c>
      <x:c r="H46" s="19" t="str">
        <x:v>Could reduce initial setup of a project knowledge workspace once the planned release arrives.</x:v>
      </x:c>
      <x:c r="I46" s="19" t="str">
        <x:v>Planned Frontier</x:v>
      </x:c>
      <x:c r="J46" s="19" t="str">
        <x:v>Microsoft 365 Copilot; confirm tenant entitlement
Not confirmed shipped by cutoff</x:v>
      </x:c>
      <x:c r="K46" s="19" t="str">
        <x:v>Weeks after October 9</x:v>
      </x:c>
      <x:c r="L46" s="25" t="str">
        <x:f>IFERROR(HYPERLINK("https://techcommunity.microsoft.com/blog/microsoft-copilot-blog/whats-new-in-notebooks--october-2026/4559105","What’s New in Notebooks | October 2026"),"What’s New in Notebooks | October 2026")</x:f>
        <x:v>What’s New in Notebooks | October 2026</x:v>
      </x:c>
      <x:c r="M46" s="25" t="str"/>
      <x:c r="N46" s="20" t="d">
        <x:v>2026-10-09T00:00:00.000Z</x:v>
      </x:c>
      <x:c r="O46" s="20" t="d">
        <x:v>2026-10-16T00:00:00.000Z</x:v>
      </x:c>
      <x:c r="P46" s="24" t="str">
        <x:v>COP-034EF12363</x:v>
      </x:c>
      <x:c r="Q46" s="19" t="str">
        <x:v>Planned Frontier</x:v>
      </x:c>
      <x:c r="R46" s="19" t="str"/>
      <x:c r="S46" s="19" t="str"/>
      <x:c r="T46" s="19" t="str"/>
      <x:c r="U46" s="20" t="d">
        <x:v>2026-10-09T00:00:00.000Z</x:v>
      </x:c>
    </x:row>
    <x:row r="47" ht="64" customHeight="1">
      <x:c r="A47" s="21" t="d">
        <x:v>2026-10-09T00:00:00.000Z</x:v>
      </x:c>
      <x:c r="B47" s="19" t="str">
        <x:v>Stated effective date. Frontier. Availability precision: Exact day</x:v>
      </x:c>
      <x:c r="C47" s="19" t="str">
        <x:v>Copilot Notebooks</x:v>
      </x:c>
      <x:c r="D47" s="19" t="str">
        <x:v>Notebook reorganization</x:v>
      </x:c>
      <x:c r="E47" s="19" t="str">
        <x:v>Group and reorder contents in refreshed navigation.</x:v>
      </x:c>
      <x:c r="F47" s="23" t="str">
        <x:v>Low</x:v>
      </x:c>
      <x:c r="G47" s="19" t="str">
        <x:v>Keep a growing project workspace easier to scan.</x:v>
      </x:c>
      <x:c r="H47" s="19" t="str">
        <x:v>Makes a growing research workspace easier to navigate, but is mainly an organization improvement.</x:v>
      </x:c>
      <x:c r="I47" s="19" t="str">
        <x:v>Frontier</x:v>
      </x:c>
      <x:c r="J47" s="19" t="str">
        <x:v>Microsoft 365 Copilot; confirm tenant entitlement
Copilot app and OneNote</x:v>
      </x:c>
      <x:c r="K47" s="19" t="str">
        <x:v>2026-10-09</x:v>
      </x:c>
      <x:c r="L47" s="25" t="str">
        <x:f>IFERROR(HYPERLINK("https://techcommunity.microsoft.com/blog/microsoft-copilot-blog/whats-new-in-notebooks--october-2026/4559105","What’s New in Notebooks | October 2026"),"What’s New in Notebooks | October 2026")</x:f>
        <x:v>What’s New in Notebooks | October 2026</x:v>
      </x:c>
      <x:c r="M47" s="25" t="str"/>
      <x:c r="N47" s="20" t="d">
        <x:v>2026-10-09T00:00:00.000Z</x:v>
      </x:c>
      <x:c r="O47" s="20" t="d">
        <x:v>2026-10-16T00:00:00.000Z</x:v>
      </x:c>
      <x:c r="P47" s="24" t="str">
        <x:v>COP-56803380CC</x:v>
      </x:c>
      <x:c r="Q47" s="19" t="str">
        <x:v>Frontier</x:v>
      </x:c>
      <x:c r="R47" s="19" t="str"/>
      <x:c r="S47" s="19" t="str"/>
      <x:c r="T47" s="19" t="str"/>
      <x:c r="U47" s="20" t="d">
        <x:v>2026-10-09T00:00:00.000Z</x:v>
      </x:c>
    </x:row>
    <x:row r="48" ht="70" customHeight="1">
      <x:c r="A48" s="21" t="d">
        <x:v>2026-10-09T00:00:00.000Z</x:v>
      </x:c>
      <x:c r="B48" s="19" t="str">
        <x:v>Source report date. Planned Frontier. Availability precision: Window / relative timing</x:v>
      </x:c>
      <x:c r="C48" s="19" t="str">
        <x:v>Copilot Notebooks</x:v>
      </x:c>
      <x:c r="D48" s="19" t="str">
        <x:v>Recurring task automation</x:v>
      </x:c>
      <x:c r="E48" s="19" t="str">
        <x:v>Schedule repeatable notebook work.</x:v>
      </x:c>
      <x:c r="F48" s="23" t="str">
        <x:v>High</x:v>
      </x:c>
      <x:c r="G48" s="19" t="str">
        <x:v>Prepare a recurring project briefing from the same evidence workspace.</x:v>
      </x:c>
      <x:c r="H48" s="19" t="str">
        <x:v>Could reduce repeated manual monitoring of a continuing project, subject to preview and spending controls.</x:v>
      </x:c>
      <x:c r="I48" s="19" t="str">
        <x:v>Planned Frontier</x:v>
      </x:c>
      <x:c r="J48" s="19" t="str">
        <x:v>Microsoft 365 Copilot; confirm tenant entitlement
Not confirmed shipped by cutoff</x:v>
      </x:c>
      <x:c r="K48" s="19" t="str">
        <x:v>Weeks after October 9</x:v>
      </x:c>
      <x:c r="L48" s="25" t="str">
        <x:f>IFERROR(HYPERLINK("https://techcommunity.microsoft.com/blog/microsoft-copilot-blog/whats-new-in-notebooks--october-2026/4559105","What’s New in Notebooks | October 2026"),"What’s New in Notebooks | October 2026")</x:f>
        <x:v>What’s New in Notebooks | October 2026</x:v>
      </x:c>
      <x:c r="M48" s="25" t="str"/>
      <x:c r="N48" s="20" t="d">
        <x:v>2026-10-09T00:00:00.000Z</x:v>
      </x:c>
      <x:c r="O48" s="20" t="d">
        <x:v>2026-10-16T00:00:00.000Z</x:v>
      </x:c>
      <x:c r="P48" s="24" t="str">
        <x:v>COP-E5624B5D10</x:v>
      </x:c>
      <x:c r="Q48" s="19" t="str">
        <x:v>Planned Frontier</x:v>
      </x:c>
      <x:c r="R48" s="19" t="str"/>
      <x:c r="S48" s="19" t="str"/>
      <x:c r="T48" s="19" t="str"/>
      <x:c r="U48" s="20" t="d">
        <x:v>2026-10-09T00:00:00.000Z</x:v>
      </x:c>
    </x:row>
    <x:row r="49" ht="64" customHeight="1">
      <x:c r="A49" s="21" t="d">
        <x:v>2026-10-09T00:00:00.000Z</x:v>
      </x:c>
      <x:c r="B49" s="19" t="str">
        <x:v>Stated effective date. Frontier rollout. Availability precision: Exact day</x:v>
      </x:c>
      <x:c r="C49" s="19" t="str">
        <x:v>Office in Copilot</x:v>
      </x:c>
      <x:c r="D49" s="19" t="str">
        <x:v>Live collaboration</x:v>
      </x:c>
      <x:c r="E49" s="19" t="str">
        <x:v>Coauthor, comment, and see presence in the same file.</x:v>
      </x:c>
      <x:c r="F49" s="23" t="str">
        <x:v>High</x:v>
      </x:c>
      <x:c r="G49" s="19" t="str">
        <x:v>Review a proposal together while retaining the AI conversation and one authoritative document.</x:v>
      </x:c>
      <x:c r="H49" s="19" t="str">
        <x:v>Allows colleagues to review and coauthor the working artifact instead of detached AI-generated copies.</x:v>
      </x:c>
      <x:c r="I49" s="19" t="str">
        <x:v>Frontier rollout</x:v>
      </x:c>
      <x:c r="J49" s="19" t="str">
        <x:v>Microsoft 365 Copilot; confirm tenant entitlement
Chat and Cowork</x:v>
      </x:c>
      <x:c r="K49" s="19" t="str">
        <x:v>2026-10-09</x:v>
      </x:c>
      <x:c r="L49" s="25" t="str">
        <x:f>IFERROR(HYPERLINK("https://techcommunity.microsoft.com/blog/microsoft-copilot-blog/introducing-office-in-the-new-microsoft-copilot-app/4561230","Introducing Office in the new Microsoft Copilot app"),"Introducing Office in the new Microsoft Copilot app")</x:f>
        <x:v>Introducing Office in the new Microsoft Copilot app</x:v>
      </x:c>
      <x:c r="M49" s="25" t="str"/>
      <x:c r="N49" s="20" t="d">
        <x:v>2026-10-09T00:00:00.000Z</x:v>
      </x:c>
      <x:c r="O49" s="20" t="d">
        <x:v>2026-10-16T00:00:00.000Z</x:v>
      </x:c>
      <x:c r="P49" s="24" t="str">
        <x:v>COP-A8B323E1E1</x:v>
      </x:c>
      <x:c r="Q49" s="19" t="str">
        <x:v>Frontier rollout</x:v>
      </x:c>
      <x:c r="R49" s="19" t="str"/>
      <x:c r="S49" s="19" t="str"/>
      <x:c r="T49" s="19" t="str"/>
      <x:c r="U49" s="20" t="d">
        <x:v>2026-10-09T00:00:00.000Z</x:v>
      </x:c>
    </x:row>
    <x:row r="50" ht="64" customHeight="1">
      <x:c r="A50" s="21" t="d">
        <x:v>2026-10-09T00:00:00.000Z</x:v>
      </x:c>
      <x:c r="B50" s="19" t="str">
        <x:v>Stated effective date. Frontier rollout. Availability precision: Exact day</x:v>
      </x:c>
      <x:c r="C50" s="19" t="str">
        <x:v>Office in Copilot</x:v>
      </x:c>
      <x:c r="D50" s="19" t="str">
        <x:v>Native Office canvas</x:v>
      </x:c>
      <x:c r="E50" s="19" t="str">
        <x:v>Edit Word, Excel, and PowerPoint beside chat.</x:v>
      </x:c>
      <x:c r="F50" s="23" t="str">
        <x:v>High</x:v>
      </x:c>
      <x:c r="G50" s="19" t="str">
        <x:v>Iterate on a real working file without transferring drafts between a chatbot and an editor.</x:v>
      </x:c>
      <x:c r="H50" s="19" t="str">
        <x:v>Reduces handoffs between an AI conversation and the actual editable deliverable.</x:v>
      </x:c>
      <x:c r="I50" s="19" t="str">
        <x:v>Frontier rollout</x:v>
      </x:c>
      <x:c r="J50" s="19" t="str">
        <x:v>Microsoft 365 Copilot; confirm tenant entitlement
Chat and Cowork</x:v>
      </x:c>
      <x:c r="K50" s="19" t="str">
        <x:v>2026-10-09</x:v>
      </x:c>
      <x:c r="L50" s="25" t="str">
        <x:f>IFERROR(HYPERLINK("https://techcommunity.microsoft.com/blog/microsoft-copilot-blog/introducing-office-in-the-new-microsoft-copilot-app/4561230","Introducing Office in the new Microsoft Copilot app"),"Introducing Office in the new Microsoft Copilot app")</x:f>
        <x:v>Introducing Office in the new Microsoft Copilot app</x:v>
      </x:c>
      <x:c r="M50" s="25" t="str"/>
      <x:c r="N50" s="20" t="d">
        <x:v>2026-10-09T00:00:00.000Z</x:v>
      </x:c>
      <x:c r="O50" s="20" t="d">
        <x:v>2026-10-16T00:00:00.000Z</x:v>
      </x:c>
      <x:c r="P50" s="24" t="str">
        <x:v>COP-78EA429354</x:v>
      </x:c>
      <x:c r="Q50" s="19" t="str">
        <x:v>Frontier rollout</x:v>
      </x:c>
      <x:c r="R50" s="19" t="str"/>
      <x:c r="S50" s="19" t="str"/>
      <x:c r="T50" s="19" t="str"/>
      <x:c r="U50" s="20" t="d">
        <x:v>2026-10-09T00:00:00.000Z</x:v>
      </x:c>
    </x:row>
    <x:row r="51" ht="100" customHeight="1">
      <x:c r="A51" s="21" t="d">
        <x:v>2026-10-06T00:00:00.000Z</x:v>
      </x:c>
      <x:c r="B51" s="19" t="str">
        <x:v>Source report date. General-release milestone. Availability precision: Window</x:v>
      </x:c>
      <x:c r="C51" s="19" t="str">
        <x:v>Copilot connectors</x:v>
      </x:c>
      <x:c r="D51" s="19" t="str">
        <x:v>Editable configuration</x:v>
      </x:c>
      <x:c r="E51" s="19" t="str">
        <x:v>Connector administrators can change query filters and identity mappings after creating a connection, without a support request.</x:v>
      </x:c>
      <x:c r="F51" s="23" t="str">
        <x:v>Medium</x:v>
      </x:c>
      <x:c r="G51" s="19" t="str">
        <x:v>A connector owner can revise which records and identities are in scope after an organizational change.</x:v>
      </x:c>
      <x:c r="H51" s="19" t="str">
        <x:v>Removes a support dependency from permission and content-scope maintenance. The productivity benefit is indirect and mainly affects administrators or purchasing decisions.</x:v>
      </x:c>
      <x:c r="I51" s="19" t="str">
        <x:v>Generally available / staged rollout</x:v>
      </x:c>
      <x:c r="J51" s="19" t="str">
        <x:v>Unconfirmed; entry does not specify entitlement
Windows, Web; regions unconfirmed</x:v>
      </x:c>
      <x:c r="K51" s="19" t="str">
        <x:v>2026-09-22 to 2026-10-06</x:v>
      </x:c>
      <x:c r="L51" s="25" t="str">
        <x:f>IFERROR(HYPERLINK("https://learn.microsoft.com/en-us/microsoft-365/copilot/release-notes#october-06-2026","Microsoft 365 Copilot release notes"),"Microsoft 365 Copilot release notes")</x:f>
        <x:v>Microsoft 365 Copilot release notes</x:v>
      </x:c>
      <x:c r="M51" s="25" t="str"/>
      <x:c r="N51" s="20" t="d">
        <x:v>2026-10-06T00:00:00.000Z</x:v>
      </x:c>
      <x:c r="O51" s="20" t="d">
        <x:v>2026-10-16T00:00:00.000Z</x:v>
      </x:c>
      <x:c r="P51" s="24" t="str">
        <x:v>COP-D5AF619E9C</x:v>
      </x:c>
      <x:c r="Q51" s="19" t="str">
        <x:v>General-release milestone</x:v>
      </x:c>
      <x:c r="R51" s="19" t="str">
        <x:v>The release-note batch describes a window, not an exact first-launch date. Tenant rollout can be staged. The earlier ServiceNow change concerns permission-reading methods. This record covers identity mapping and query filters. Earlier related record: Change ServiceNow permission-reading settings (2026-07-01).</x:v>
      </x:c>
      <x:c r="S51" s="19" t="str">
        <x:v>COP-6FA09B22DB</x:v>
      </x:c>
      <x:c r="T51" s="19" t="str"/>
      <x:c r="U51" s="20" t="d">
        <x:v>2026-10-06T00:00:00.000Z</x:v>
      </x:c>
    </x:row>
    <x:row r="52" ht="100" customHeight="1">
      <x:c r="A52" s="21" t="d">
        <x:v>2026-10-06T00:00:00.000Z</x:v>
      </x:c>
      <x:c r="B52" s="19" t="str">
        <x:v>Source report date. General-release milestone. Availability precision: Window</x:v>
      </x:c>
      <x:c r="C52" s="19" t="str">
        <x:v>Copilot Search</x:v>
      </x:c>
      <x:c r="D52" s="19" t="str">
        <x:v>Contextual chat</x:v>
      </x:c>
      <x:c r="E52" s="19" t="str">
        <x:v>Copilot Search supports a contextual conversation about search results, including follow-up questions and content generation.</x:v>
      </x:c>
      <x:c r="F52" s="23" t="str">
        <x:v>High</x:v>
      </x:c>
      <x:c r="G52" s="19" t="str">
        <x:v>Start with a search for a project, then turn the retrieved material into a briefing without rebuilding the prompt context.</x:v>
      </x:c>
      <x:c r="H52" s="19" t="str">
        <x:v>Connects discovery and synthesis in a recurring knowledge-work flow.</x:v>
      </x:c>
      <x:c r="I52" s="19" t="str">
        <x:v>Generally available / staged rollout</x:v>
      </x:c>
      <x:c r="J52" s="19" t="str">
        <x:v>Unconfirmed; entry does not specify entitlement
Windows, Web; regions unconfirmed</x:v>
      </x:c>
      <x:c r="K52" s="19" t="str">
        <x:v>2026-09-22 to 2026-10-06</x:v>
      </x:c>
      <x:c r="L52" s="25" t="str">
        <x:f>IFERROR(HYPERLINK("https://learn.microsoft.com/en-us/microsoft-365/copilot/release-notes#october-06-2026","Microsoft 365 Copilot release notes"),"Microsoft 365 Copilot release notes")</x:f>
        <x:v>Microsoft 365 Copilot release notes</x:v>
      </x:c>
      <x:c r="M52" s="25" t="str"/>
      <x:c r="N52" s="20" t="d">
        <x:v>2026-10-06T00:00:00.000Z</x:v>
      </x:c>
      <x:c r="O52" s="20" t="d">
        <x:v>2026-10-16T00:00:00.000Z</x:v>
      </x:c>
      <x:c r="P52" s="24" t="str">
        <x:v>COP-61A4DBB7BC</x:v>
      </x:c>
      <x:c r="Q52" s="19" t="str">
        <x:v>General-release milestone</x:v>
      </x:c>
      <x:c r="R52" s="19" t="str">
        <x:v>Release-note batch gives a general-release window, not an exact first-launch date. Tenant rollout can be staged. Consolidates August 25 side-pane listing (roadmap 537281) with October 6 integration listing (512429); source does not establish a distinct new end-user capability. October date is the later documented milestone.</x:v>
      </x:c>
      <x:c r="S52" s="19" t="str"/>
      <x:c r="T52" s="19" t="str">
        <x:v>512429</x:v>
      </x:c>
      <x:c r="U52" s="20" t="d">
        <x:v>2026-10-06T00:00:00.000Z</x:v>
      </x:c>
    </x:row>
    <x:row r="53" ht="85" customHeight="1">
      <x:c r="A53" s="21" t="d">
        <x:v>2026-10-06T00:00:00.000Z</x:v>
      </x:c>
      <x:c r="B53" s="19" t="str">
        <x:v>Source report date. General-release milestone. Availability precision: Window</x:v>
      </x:c>
      <x:c r="C53" s="19" t="str">
        <x:v>PowerPoint</x:v>
      </x:c>
      <x:c r="D53" s="19" t="str">
        <x:v>Library and folder source references — Mac availability</x:v>
      </x:c>
      <x:c r="E53" s="19" t="str">
        <x:v>PowerPoint on Mac can use files in SharePoint libraries and OneDrive folders as references when generating a presentation.</x:v>
      </x:c>
      <x:c r="F53" s="23" t="str">
        <x:v>Medium</x:v>
      </x:c>
      <x:c r="G53" s="19" t="str">
        <x:v>A Mac-based consultant can build a deck around documents already held in shared project storage.</x:v>
      </x:c>
      <x:c r="H53" s="19" t="str">
        <x:v>Extends an existing creation workflow to a specific client platform.</x:v>
      </x:c>
      <x:c r="I53" s="19" t="str">
        <x:v>Generally available / staged rollout</x:v>
      </x:c>
      <x:c r="J53" s="19" t="str">
        <x:v>Unconfirmed; entry does not specify entitlement
Mac; regions unconfirmed</x:v>
      </x:c>
      <x:c r="K53" s="19" t="str">
        <x:v>2026-09-22 to 2026-10-06</x:v>
      </x:c>
      <x:c r="L53" s="25" t="str">
        <x:f>IFERROR(HYPERLINK("https://learn.microsoft.com/en-us/microsoft-365/copilot/release-notes#october-06-2026","Microsoft 365 Copilot release notes"),"Microsoft 365 Copilot release notes")</x:f>
        <x:v>Microsoft 365 Copilot release notes</x:v>
      </x:c>
      <x:c r="M53" s="25" t="str"/>
      <x:c r="N53" s="20" t="d">
        <x:v>2026-10-06T00:00:00.000Z</x:v>
      </x:c>
      <x:c r="O53" s="20" t="d">
        <x:v>2026-10-16T00:00:00.000Z</x:v>
      </x:c>
      <x:c r="P53" s="24" t="str">
        <x:v>COP-EB8A6A7036</x:v>
      </x:c>
      <x:c r="Q53" s="19" t="str">
        <x:v>Platform availability milestone</x:v>
      </x:c>
      <x:c r="R53" s="19" t="str">
        <x:v>The release-note batch describes a window, not an exact first-launch date. Tenant rollout can be staged. The earlier record describes source references. This later batch specifically extends the capability to Mac. Earlier related record: Library and folder source references (2026-06-30).</x:v>
      </x:c>
      <x:c r="S53" s="19" t="str">
        <x:v>COP-B6B2C2C721</x:v>
      </x:c>
      <x:c r="T53" s="19" t="str">
        <x:v>555897</x:v>
      </x:c>
      <x:c r="U53" s="20" t="d">
        <x:v>2026-10-06T00:00:00.000Z</x:v>
      </x:c>
    </x:row>
    <x:row r="54" ht="70" customHeight="1">
      <x:c r="A54" s="21" t="d">
        <x:v>2026-10-06T00:00:00.000Z</x:v>
      </x:c>
      <x:c r="B54" s="19" t="str">
        <x:v>Source report date. General-release milestone. Availability precision: Window</x:v>
      </x:c>
      <x:c r="C54" s="19" t="str">
        <x:v>SharePoint administration</x:v>
      </x:c>
      <x:c r="D54" s="19" t="str">
        <x:v>Permission reporting</x:v>
      </x:c>
      <x:c r="E54" s="19" t="str">
        <x:v>A SharePoint report exposes item-level permissions granted through the Everyone and Everyone except external users groups.</x:v>
      </x:c>
      <x:c r="F54" s="23" t="str">
        <x:v>Medium</x:v>
      </x:c>
      <x:c r="G54" s="19" t="str">
        <x:v>Audit broadly shared proposal or policy files before expanding AI access to the same content estate.</x:v>
      </x:c>
      <x:c r="H54" s="19" t="str">
        <x:v>Item-level evidence helps identify exposure that site-level review can miss. The productivity benefit is indirect and mainly affects administrators or purchasing decisions.</x:v>
      </x:c>
      <x:c r="I54" s="19" t="str">
        <x:v>Generally available / staged rollout</x:v>
      </x:c>
      <x:c r="J54" s="19" t="str">
        <x:v>SharePoint Advanced Management; exact entitlement unconfirmed
Web; regions unconfirmed</x:v>
      </x:c>
      <x:c r="K54" s="19" t="str">
        <x:v>2026-09-22 to 2026-10-06</x:v>
      </x:c>
      <x:c r="L54" s="25" t="str">
        <x:f>IFERROR(HYPERLINK("https://learn.microsoft.com/en-us/microsoft-365/copilot/release-notes#october-06-2026","Microsoft 365 Copilot release notes"),"Microsoft 365 Copilot release notes")</x:f>
        <x:v>Microsoft 365 Copilot release notes</x:v>
      </x:c>
      <x:c r="M54" s="25" t="str"/>
      <x:c r="N54" s="20" t="d">
        <x:v>2026-10-06T00:00:00.000Z</x:v>
      </x:c>
      <x:c r="O54" s="20" t="d">
        <x:v>2026-10-16T00:00:00.000Z</x:v>
      </x:c>
      <x:c r="P54" s="24" t="str">
        <x:v>COP-27677701FF</x:v>
      </x:c>
      <x:c r="Q54" s="19" t="str">
        <x:v>General-release milestone</x:v>
      </x:c>
      <x:c r="R54" s="19" t="str">
        <x:v>Release-note batch gives a general-release window, not an exact first-launch date. Tenant rollout can be staged.</x:v>
      </x:c>
      <x:c r="S54" s="19" t="str"/>
      <x:c r="T54" s="19" t="str">
        <x:v>561038</x:v>
      </x:c>
      <x:c r="U54" s="20" t="d">
        <x:v>2026-10-06T00:00:00.000Z</x:v>
      </x:c>
    </x:row>
    <x:row r="55" ht="70" customHeight="1">
      <x:c r="A55" s="21" t="d">
        <x:v>2026-10-06T00:00:00.000Z</x:v>
      </x:c>
      <x:c r="B55" s="19" t="str">
        <x:v>Source report date. General-release milestone. Availability precision: Window</x:v>
      </x:c>
      <x:c r="C55" s="19" t="str">
        <x:v>Viva Insights</x:v>
      </x:c>
      <x:c r="D55" s="19" t="str">
        <x:v>Cowork measurement</x:v>
      </x:c>
      <x:c r="E55" s="19" t="str">
        <x:v>Insights adds Cowork adoption, impact and consumption reporting, exports, and analyst queries for usage and credit data.</x:v>
      </x:c>
      <x:c r="F55" s="23" t="str">
        <x:v>Medium</x:v>
      </x:c>
      <x:c r="G55" s="19" t="str">
        <x:v>Compare a pilot group’s Cowork activity and credit demand before deciding whether to broaden deployment.</x:v>
      </x:c>
      <x:c r="H55" s="19" t="str">
        <x:v>Useful for rollout decisions, but primarily serves administrators and analysts.</x:v>
      </x:c>
      <x:c r="I55" s="19" t="str">
        <x:v>Generally available / staged rollout</x:v>
      </x:c>
      <x:c r="J55" s="19" t="str">
        <x:v>Unconfirmed; entry does not specify entitlement
Web; regions unconfirmed</x:v>
      </x:c>
      <x:c r="K55" s="19" t="str">
        <x:v>2026-09-22 to 2026-10-06</x:v>
      </x:c>
      <x:c r="L55" s="25" t="str">
        <x:f>IFERROR(HYPERLINK("https://learn.microsoft.com/en-us/microsoft-365/copilot/release-notes#october-06-2026","Microsoft 365 Copilot release notes"),"Microsoft 365 Copilot release notes")</x:f>
        <x:v>Microsoft 365 Copilot release notes</x:v>
      </x:c>
      <x:c r="M55" s="25" t="str"/>
      <x:c r="N55" s="20" t="d">
        <x:v>2026-10-06T00:00:00.000Z</x:v>
      </x:c>
      <x:c r="O55" s="20" t="d">
        <x:v>2026-10-16T00:00:00.000Z</x:v>
      </x:c>
      <x:c r="P55" s="24" t="str">
        <x:v>COP-E12C91EB49</x:v>
      </x:c>
      <x:c r="Q55" s="19" t="str">
        <x:v>General-release milestone</x:v>
      </x:c>
      <x:c r="R55" s="19" t="str">
        <x:v>Release-note batch gives a general-release window, not an exact first-launch date. Tenant rollout can be staged.</x:v>
      </x:c>
      <x:c r="S55" s="19" t="str"/>
      <x:c r="T55" s="19" t="str">
        <x:v>567005</x:v>
      </x:c>
      <x:c r="U55" s="20" t="d">
        <x:v>2026-10-06T00:00:00.000Z</x:v>
      </x:c>
    </x:row>
    <x:row r="56" ht="70" customHeight="1">
      <x:c r="A56" s="21" t="d">
        <x:v>2026-10-01T00:00:00.000Z</x:v>
      </x:c>
      <x:c r="B56" s="19" t="str">
        <x:v>Source report date. Planned; revised effective date. Availability precision: Exact day</x:v>
      </x:c>
      <x:c r="C56" s="19" t="str">
        <x:v>Copilot Business purchasing</x:v>
      </x:c>
      <x:c r="D56" s="19" t="str">
        <x:v>Default-on usage billing for new CSP purchases</x:v>
      </x:c>
      <x:c r="E56" s="19" t="str">
        <x:v>New CSP subscriptions default to PAYG; 4,000 credits/user/month spending limit.</x:v>
      </x:c>
      <x:c r="F56" s="23" t="str">
        <x:v>Medium</x:v>
      </x:c>
      <x:c r="G56" s="19" t="str">
        <x:v>Set tenant budgets and explain metered charges before adding new Business seats.</x:v>
      </x:c>
      <x:c r="H56" s="19" t="str">
        <x:v>Changes potential spending exposure at purchase and requires budget controls before adoption. The productivity benefit is indirect and mainly affects administrators or purchasing decisions.</x:v>
      </x:c>
      <x:c r="I56" s="19" t="str">
        <x:v>Planned; revised effective date</x:v>
      </x:c>
      <x:c r="J56" s="19" t="str">
        <x:v>New Microsoft 365 Copilot Business purchases through CSP; actual usage charged; limit adjustable
Initially excludes Australia, Belgium, Brazil, France, Germany, India, Italy, Korea, Netherlands, Poland, Spain.</x:v>
      </x:c>
      <x:c r="K56" s="19" t="str">
        <x:v>2026-12-01</x:v>
      </x:c>
      <x:c r="L56" s="25" t="str">
        <x:f>IFERROR(HYPERLINK("https://learn.microsoft.com/en-us/partner-center/announcements/2026-october","October 2026 Partner Center announcements"),"October 2026 Partner Center announcements")</x:f>
        <x:v>October 2026 Partner Center announcements</x:v>
      </x:c>
      <x:c r="M56" s="25" t="str"/>
      <x:c r="N56" s="20" t="d">
        <x:v>2026-10-01T00:00:00.000Z</x:v>
      </x:c>
      <x:c r="O56" s="20" t="d">
        <x:v>2026-10-16T00:00:00.000Z</x:v>
      </x:c>
      <x:c r="P56" s="24" t="str">
        <x:v>COP-90F0DDC2A3</x:v>
      </x:c>
      <x:c r="Q56" s="19" t="str">
        <x:v>Planned; revised effective date</x:v>
      </x:c>
      <x:c r="R56" s="19" t="str">
        <x:v>Originally Nov 2, postponed toDec1. Article dateOct1; assets updatedOct14. Not a blanket default-on change for existing subscriptions; limit is a spending allowance, not free credits.</x:v>
      </x:c>
      <x:c r="S56" s="19" t="str"/>
      <x:c r="T56" s="19" t="str"/>
      <x:c r="U56" s="20" t="d">
        <x:v>2026-10-01T00:00:00.000Z</x:v>
      </x:c>
    </x:row>
    <x:row r="57" ht="70" customHeight="1">
      <x:c r="A57" s="21" t="d">
        <x:v>2026-10-01T00:00:00.000Z</x:v>
      </x:c>
      <x:c r="B57" s="19" t="str">
        <x:v>Source report date. Released / rolling out. Availability precision: Month only</x:v>
      </x:c>
      <x:c r="C57" s="19" t="str">
        <x:v>Copilot in SharePoint</x:v>
      </x:c>
      <x:c r="D57" s="19" t="str">
        <x:v>Adaptive-card workflows</x:v>
      </x:c>
      <x:c r="E57" s="19" t="str">
        <x:v>File/list changes trigger formatted Teams notifications.</x:v>
      </x:c>
      <x:c r="F57" s="23" t="str">
        <x:v>High</x:v>
      </x:c>
      <x:c r="G57" s="19" t="str">
        <x:v>Route a new RFP or high-value exception into the right working conversation.</x:v>
      </x:c>
      <x:c r="H57" s="19" t="str">
        <x:v>Adds actionable collaboration to recurring content processes instead of passive notifications.</x:v>
      </x:c>
      <x:c r="I57" s="19" t="str">
        <x:v>Released / rolling out</x:v>
      </x:c>
      <x:c r="J57" s="19" t="str">
        <x:v>Microsoft 365 Copilot plus Power Automate access
Teams channels/chats</x:v>
      </x:c>
      <x:c r="K57" s="19" t="str">
        <x:v>2026-10</x:v>
      </x:c>
      <x:c r="L57" s="25" t="str">
        <x:f>IFERROR(HYPERLINK("https://techcommunity.microsoft.com/blog/spblog/what%E2%80%99s-new-in-copilot-in-sharepoint-october-2026/4535423","What’s new in Copilot in SharePoint: October 2026"),"What’s new in Copilot in SharePoint: October 2026")</x:f>
        <x:v>What’s new in Copilot in SharePoint: October 2026</x:v>
      </x:c>
      <x:c r="M57" s="25" t="str"/>
      <x:c r="N57" s="20" t="d">
        <x:v>2026-10-01T00:00:00.000Z</x:v>
      </x:c>
      <x:c r="O57" s="20" t="d">
        <x:v>2026-10-16T00:00:00.000Z</x:v>
      </x:c>
      <x:c r="P57" s="24" t="str">
        <x:v>COP-701397F8CA</x:v>
      </x:c>
      <x:c r="Q57" s="19" t="str">
        <x:v>Released / rolling out</x:v>
      </x:c>
      <x:c r="R57" s="19"/>
      <x:c r="S57" s="19" t="str"/>
      <x:c r="T57" s="19" t="str"/>
      <x:c r="U57" s="20" t="d">
        <x:v>2026-10-01T00:00:00.000Z</x:v>
      </x:c>
    </x:row>
    <x:row r="58" ht="64" customHeight="1">
      <x:c r="A58" s="21" t="d">
        <x:v>2026-10-01T00:00:00.000Z</x:v>
      </x:c>
      <x:c r="B58" s="19" t="str">
        <x:v>Source report date. Rolling out. Availability precision: Month only</x:v>
      </x:c>
      <x:c r="C58" s="19" t="str">
        <x:v>Copilot in SharePoint</x:v>
      </x:c>
      <x:c r="D58" s="19" t="str">
        <x:v>Advanced Autofill</x:v>
      </x:c>
      <x:c r="E58" s="19" t="str">
        <x:v>Accelerated document metadata extraction.</x:v>
      </x:c>
      <x:c r="F58" s="23" t="str">
        <x:v>High</x:v>
      </x:c>
      <x:c r="G58" s="19" t="str">
        <x:v>Triage large document collections into sortable fields before human exception review.</x:v>
      </x:c>
      <x:c r="H58" s="19" t="str">
        <x:v>Can reduce repeated metadata entry across document libraries, with metered-cost and accuracy review needed.</x:v>
      </x:c>
      <x:c r="I58" s="19" t="str">
        <x:v>Rolling out</x:v>
      </x:c>
      <x:c r="J58" s="19" t="str">
        <x:v>Microsoft 365 Copilot plus Credits
Processing capacity varies</x:v>
      </x:c>
      <x:c r="K58" s="19" t="str">
        <x:v>2026-10</x:v>
      </x:c>
      <x:c r="L58" s="25" t="str">
        <x:f>IFERROR(HYPERLINK("https://techcommunity.microsoft.com/blog/spblog/what%E2%80%99s-new-in-copilot-in-sharepoint-october-2026/4535423","What’s new in Copilot in SharePoint: October 2026"),"What’s new in Copilot in SharePoint: October 2026")</x:f>
        <x:v>What’s new in Copilot in SharePoint: October 2026</x:v>
      </x:c>
      <x:c r="M58" s="25" t="str"/>
      <x:c r="N58" s="20" t="d">
        <x:v>2026-10-01T00:00:00.000Z</x:v>
      </x:c>
      <x:c r="O58" s="20" t="d">
        <x:v>2026-10-16T00:00:00.000Z</x:v>
      </x:c>
      <x:c r="P58" s="24" t="str">
        <x:v>COP-943905DC50</x:v>
      </x:c>
      <x:c r="Q58" s="19" t="str">
        <x:v>Rolling out</x:v>
      </x:c>
      <x:c r="R58" s="19" t="str"/>
      <x:c r="S58" s="19" t="str"/>
      <x:c r="T58" s="19" t="str"/>
      <x:c r="U58" s="20" t="d">
        <x:v>2026-10-01T00:00:00.000Z</x:v>
      </x:c>
    </x:row>
    <x:row r="59" ht="64" customHeight="1">
      <x:c r="A59" s="21" t="d">
        <x:v>2026-10-01T00:00:00.000Z</x:v>
      </x:c>
      <x:c r="B59" s="19" t="str">
        <x:v>Source report date. Rolling out. Availability precision: Month only</x:v>
      </x:c>
      <x:c r="C59" s="19" t="str">
        <x:v>Copilot in SharePoint</x:v>
      </x:c>
      <x:c r="D59" s="19" t="str">
        <x:v>Conversational content analytics</x:v>
      </x:c>
      <x:c r="E59" s="19" t="str">
        <x:v>Create custom reports on content performance.</x:v>
      </x:c>
      <x:c r="F59" s="23" t="str">
        <x:v>Medium</x:v>
      </x:c>
      <x:c r="G59" s="19" t="str">
        <x:v>Check whether important internal guidance reaches its intended audience.</x:v>
      </x:c>
      <x:c r="H59" s="19" t="str">
        <x:v>Reduces the effort of assessing content use before prioritizing maintenance work.</x:v>
      </x:c>
      <x:c r="I59" s="19" t="str">
        <x:v>Rolling out</x:v>
      </x:c>
      <x:c r="J59" s="19" t="str">
        <x:v>Microsoft 365 Copilot plus Credits
Site owners</x:v>
      </x:c>
      <x:c r="K59" s="19" t="str">
        <x:v>2026-10</x:v>
      </x:c>
      <x:c r="L59" s="25" t="str">
        <x:f>IFERROR(HYPERLINK("https://techcommunity.microsoft.com/blog/spblog/what%E2%80%99s-new-in-copilot-in-sharepoint-october-2026/4535423","What’s new in Copilot in SharePoint: October 2026"),"What’s new in Copilot in SharePoint: October 2026")</x:f>
        <x:v>What’s new in Copilot in SharePoint: October 2026</x:v>
      </x:c>
      <x:c r="M59" s="25"/>
      <x:c r="N59" s="20" t="d">
        <x:v>2026-10-01T00:00:00.000Z</x:v>
      </x:c>
      <x:c r="O59" s="20" t="d">
        <x:v>2026-10-16T00:00:00.000Z</x:v>
      </x:c>
      <x:c r="P59" s="24" t="str">
        <x:v>COP-3F436E94E1</x:v>
      </x:c>
      <x:c r="Q59" s="19" t="str">
        <x:v>Rolling out</x:v>
      </x:c>
      <x:c r="R59" s="19"/>
      <x:c r="S59" s="19" t="str"/>
      <x:c r="T59" s="19" t="str"/>
      <x:c r="U59" s="20" t="d">
        <x:v>2026-10-01T00:00:00.000Z</x:v>
      </x:c>
    </x:row>
    <x:row r="60" ht="70" customHeight="1">
      <x:c r="A60" s="21" t="d">
        <x:v>2026-10-01T00:00:00.000Z</x:v>
      </x:c>
      <x:c r="B60" s="19" t="str">
        <x:v>Source report date. Released / rolling out. Availability precision: Month only</x:v>
      </x:c>
      <x:c r="C60" s="19" t="str">
        <x:v>Copilot in SharePoint</x:v>
      </x:c>
      <x:c r="D60" s="19" t="str">
        <x:v>Email delivery</x:v>
      </x:c>
      <x:c r="E60" s="19" t="str">
        <x:v>Generate and send content as email body.</x:v>
      </x:c>
      <x:c r="F60" s="23" t="str">
        <x:v>Medium</x:v>
      </x:c>
      <x:c r="G60" s="19" t="str">
        <x:v>Move from completed report to stakeholder review without copy-pasting between applications.</x:v>
      </x:c>
      <x:c r="H60" s="19" t="str">
        <x:v>Connects generated content to a communication handoff, while draft review remains important.</x:v>
      </x:c>
      <x:c r="I60" s="19" t="str">
        <x:v>Released / rolling out</x:v>
      </x:c>
      <x:c r="J60" s="19" t="str">
        <x:v>Microsoft 365 Copilot; confirm tenant entitlement
Message preview before sending</x:v>
      </x:c>
      <x:c r="K60" s="19" t="str">
        <x:v>2026-10</x:v>
      </x:c>
      <x:c r="L60" s="25" t="str">
        <x:f>IFERROR(HYPERLINK("https://techcommunity.microsoft.com/blog/spblog/what%E2%80%99s-new-in-copilot-in-sharepoint-october-2026/4535423","What’s new in Copilot in SharePoint: October 2026"),"What’s new in Copilot in SharePoint: October 2026")</x:f>
        <x:v>What’s new in Copilot in SharePoint: October 2026</x:v>
      </x:c>
      <x:c r="M60" s="25" t="str"/>
      <x:c r="N60" s="20" t="d">
        <x:v>2026-10-01T00:00:00.000Z</x:v>
      </x:c>
      <x:c r="O60" s="20" t="d">
        <x:v>2026-10-16T00:00:00.000Z</x:v>
      </x:c>
      <x:c r="P60" s="24" t="str">
        <x:v>COP-2D4D8E6058</x:v>
      </x:c>
      <x:c r="Q60" s="19" t="str">
        <x:v>Released / rolling out</x:v>
      </x:c>
      <x:c r="R60" s="19" t="str"/>
      <x:c r="S60" s="19" t="str"/>
      <x:c r="T60" s="19" t="str"/>
      <x:c r="U60" s="20" t="d">
        <x:v>2026-10-01T00:00:00.000Z</x:v>
      </x:c>
    </x:row>
    <x:row r="61" ht="130" customHeight="1">
      <x:c r="A61" s="21" t="d">
        <x:v>2026-10-01T00:00:00.000Z</x:v>
      </x:c>
      <x:c r="B61" s="19" t="str">
        <x:v>Source report date. Released / rolling out. Availability precision: Month only</x:v>
      </x:c>
      <x:c r="C61" s="19" t="str">
        <x:v>Copilot in SharePoint</x:v>
      </x:c>
      <x:c r="D61" s="19" t="str">
        <x:v>HTML review and publishing</x:v>
      </x:c>
      <x:c r="E61" s="19" t="str">
        <x:v>Revise through comments and publish HTML pages.</x:v>
      </x:c>
      <x:c r="F61" s="23" t="str">
        <x:v>Medium</x:v>
      </x:c>
      <x:c r="G61" s="19" t="str">
        <x:v>Turn an analysis into an internal report that reviewers can refine without hand-editing HTML.</x:v>
      </x:c>
      <x:c r="H61" s="19" t="str">
        <x:v>Makes generated web content more reviewable and useful within the team's publishing workflow.</x:v>
      </x:c>
      <x:c r="I61" s="19" t="str">
        <x:v>Frontier public-program rollout</x:v>
      </x:c>
      <x:c r="J61" s="19" t="str">
        <x:v>Microsoft 365 Copilot for Copilot creation/editing; normal SharePoint permissions for upload, direct edit, publish, share and view. HTML enabled by default; site owners may disable per site.</x:v>
      </x:c>
      <x:c r="K61" s="19" t="str">
        <x:v>2026-10</x:v>
      </x:c>
      <x:c r="L61" s="25" t="str">
        <x:f>IFERROR(HYPERLINK("https://techcommunity.microsoft.com/blog/spblog/what%E2%80%99s-new-in-copilot-in-sharepoint-october-2026/4535423","What’s new in Copilot in SharePoint: October 2026"),"What’s new in Copilot in SharePoint: October 2026")</x:f>
        <x:v>What’s new in Copilot in SharePoint: October 2026</x:v>
      </x:c>
      <x:c r="M61" s="25" t="str">
        <x:f>IFERROR(HYPERLINK("https://techcommunity.microsoft.com/blog/spblog/publish-rich-and-interactive-content-with-html-pages-in-sharepoint/4565918","Publish rich and interactive content with HTML pages in SharePoint"),"Publish rich and interactive content with HTML pages in SharePoint")</x:f>
        <x:v>Publish rich and interactive content with HTML pages in SharePoint</x:v>
      </x:c>
      <x:c r="N61" s="20" t="d">
        <x:v>2026-10-01T00:00:00.000Z</x:v>
      </x:c>
      <x:c r="O61" s="20" t="d">
        <x:v>2026-10-23T00:00:00.000Z</x:v>
      </x:c>
      <x:c r="P61" s="24" t="str">
        <x:v>COP-72CD9AE2B3</x:v>
      </x:c>
      <x:c r="Q61" s="19" t="str">
        <x:v>Released / rolling out</x:v>
      </x:c>
      <x:c r="R61" s="19" t="str">
        <x:v> October 23 clarification from October 22 post: HTML pages are gradually rolling out through Frontier, not established broad GA. Live data refresh supports SharePoint lists/Excel/CSV. Sandboxed; arbitrary outbound APIs/CDN scripts/cross-tenant access blocked. Prior October 1 report retained.</x:v>
      </x:c>
      <x:c r="S61" s="19" t="str"/>
      <x:c r="T61" s="19" t="str"/>
      <x:c r="U61" s="20" t="d">
        <x:v>2026-10-01T00:00:00.000Z</x:v>
      </x:c>
    </x:row>
    <x:row r="62" ht="64" customHeight="1">
      <x:c r="A62" s="21" t="d">
        <x:v>2026-10-01T00:00:00.000Z</x:v>
      </x:c>
      <x:c r="B62" s="19" t="str">
        <x:v>Source report date. Rolling out. Availability precision: Month only</x:v>
      </x:c>
      <x:c r="C62" s="19" t="str">
        <x:v>Copilot in SharePoint</x:v>
      </x:c>
      <x:c r="D62" s="19" t="str">
        <x:v>Image creation and editing</x:v>
      </x:c>
      <x:c r="E62" s="19" t="str">
        <x:v>Generate or modify library images.</x:v>
      </x:c>
      <x:c r="F62" s="23" t="str">
        <x:v>Medium</x:v>
      </x:c>
      <x:c r="G62" s="19" t="str">
        <x:v>Prepare supporting visuals within the content library while retaining review before use.</x:v>
      </x:c>
      <x:c r="H62" s="19" t="str">
        <x:v>Reduces external-tool handoffs for content teams producing illustrations.</x:v>
      </x:c>
      <x:c r="I62" s="19" t="str">
        <x:v>Rolling out</x:v>
      </x:c>
      <x:c r="J62" s="19" t="str">
        <x:v>Microsoft 365 Copilot plus Credits
Libraries</x:v>
      </x:c>
      <x:c r="K62" s="19" t="str">
        <x:v>2026-10</x:v>
      </x:c>
      <x:c r="L62" s="25" t="str">
        <x:f>IFERROR(HYPERLINK("https://techcommunity.microsoft.com/blog/spblog/what%E2%80%99s-new-in-copilot-in-sharepoint-october-2026/4535423","What’s new in Copilot in SharePoint: October 2026"),"What’s new in Copilot in SharePoint: October 2026")</x:f>
        <x:v>What’s new in Copilot in SharePoint: October 2026</x:v>
      </x:c>
      <x:c r="M62" s="25" t="str"/>
      <x:c r="N62" s="20" t="d">
        <x:v>2026-10-01T00:00:00.000Z</x:v>
      </x:c>
      <x:c r="O62" s="20" t="d">
        <x:v>2026-10-16T00:00:00.000Z</x:v>
      </x:c>
      <x:c r="P62" s="24" t="str">
        <x:v>COP-27F358C9BD</x:v>
      </x:c>
      <x:c r="Q62" s="19" t="str">
        <x:v>Rolling out</x:v>
      </x:c>
      <x:c r="R62" s="19"/>
      <x:c r="S62" s="19" t="str"/>
      <x:c r="T62" s="19" t="str"/>
      <x:c r="U62" s="20" t="d">
        <x:v>2026-10-01T00:00:00.000Z</x:v>
      </x:c>
    </x:row>
    <x:row r="63" ht="70" customHeight="1">
      <x:c r="A63" s="21" t="d">
        <x:v>2026-10-01T00:00:00.000Z</x:v>
      </x:c>
      <x:c r="B63" s="19" t="str">
        <x:v>Source report date. Released / rolling out. Availability precision: Month only</x:v>
      </x:c>
      <x:c r="C63" s="19" t="str">
        <x:v>Copilot in SharePoint</x:v>
      </x:c>
      <x:c r="D63" s="19" t="str">
        <x:v>PDF restructuring</x:v>
      </x:c>
      <x:c r="E63" s="19" t="str">
        <x:v>Extract, insert, reorder, and split document sections.</x:v>
      </x:c>
      <x:c r="F63" s="23" t="str">
        <x:v>Medium</x:v>
      </x:c>
      <x:c r="G63" s="19" t="str">
        <x:v>Assemble reviewer-specific document packs without downloading and manually rebuilding PDFs.</x:v>
      </x:c>
      <x:c r="H63" s="19" t="str">
        <x:v>Removes common split-and-merge document preparation steps from separate utilities.</x:v>
      </x:c>
      <x:c r="I63" s="19" t="str">
        <x:v>Released / rolling out</x:v>
      </x:c>
      <x:c r="J63" s="19" t="str">
        <x:v>Microsoft 365 Copilot; confirm tenant entitlement
Not specified in announcement; verify tenant availability</x:v>
      </x:c>
      <x:c r="K63" s="19" t="str">
        <x:v>2026-10</x:v>
      </x:c>
      <x:c r="L63" s="25" t="str">
        <x:f>IFERROR(HYPERLINK("https://techcommunity.microsoft.com/blog/spblog/what%E2%80%99s-new-in-copilot-in-sharepoint-october-2026/4535423","What’s new in Copilot in SharePoint: October 2026"),"What’s new in Copilot in SharePoint: October 2026")</x:f>
        <x:v>What’s new in Copilot in SharePoint: October 2026</x:v>
      </x:c>
      <x:c r="M63" s="25" t="str"/>
      <x:c r="N63" s="20" t="d">
        <x:v>2026-10-01T00:00:00.000Z</x:v>
      </x:c>
      <x:c r="O63" s="20" t="d">
        <x:v>2026-10-16T00:00:00.000Z</x:v>
      </x:c>
      <x:c r="P63" s="24" t="str">
        <x:v>COP-A70C4ADAAC</x:v>
      </x:c>
      <x:c r="Q63" s="19" t="str">
        <x:v>Released / rolling out</x:v>
      </x:c>
      <x:c r="R63" s="19" t="str"/>
      <x:c r="S63" s="19" t="str"/>
      <x:c r="T63" s="19" t="str"/>
      <x:c r="U63" s="20" t="d">
        <x:v>2026-10-01T00:00:00.000Z</x:v>
      </x:c>
    </x:row>
    <x:row r="64" ht="70" customHeight="1">
      <x:c r="A64" s="21" t="d">
        <x:v>2026-10-01T00:00:00.000Z</x:v>
      </x:c>
      <x:c r="B64" s="19" t="str">
        <x:v>Source report date. Released / rolling out. Availability precision: Month only</x:v>
      </x:c>
      <x:c r="C64" s="19" t="str">
        <x:v>Copilot in SharePoint</x:v>
      </x:c>
      <x:c r="D64" s="19" t="str">
        <x:v>Version review and restore</x:v>
      </x:c>
      <x:c r="E64" s="19" t="str">
        <x:v>Explain changes and recover prior versions.</x:v>
      </x:c>
      <x:c r="F64" s="23" t="str">
        <x:v>Medium</x:v>
      </x:c>
      <x:c r="G64" s="19" t="str">
        <x:v>Investigate and reverse an accidental edit without manually comparing every saved version.</x:v>
      </x:c>
      <x:c r="H64" s="19" t="str">
        <x:v>Supports recovery and auditing of document changes without manually navigating each file's history.</x:v>
      </x:c>
      <x:c r="I64" s="19" t="str">
        <x:v>Released / rolling out</x:v>
      </x:c>
      <x:c r="J64" s="19" t="str">
        <x:v>Microsoft 365 Copilot; confirm tenant entitlement
Not specified in announcement; verify tenant availability</x:v>
      </x:c>
      <x:c r="K64" s="19" t="str">
        <x:v>2026-10</x:v>
      </x:c>
      <x:c r="L64" s="25" t="str">
        <x:f>IFERROR(HYPERLINK("https://techcommunity.microsoft.com/blog/spblog/what%E2%80%99s-new-in-copilot-in-sharepoint-october-2026/4535423","What’s new in Copilot in SharePoint: October 2026"),"What’s new in Copilot in SharePoint: October 2026")</x:f>
        <x:v>What’s new in Copilot in SharePoint: October 2026</x:v>
      </x:c>
      <x:c r="M64" s="25" t="str"/>
      <x:c r="N64" s="20" t="d">
        <x:v>2026-10-01T00:00:00.000Z</x:v>
      </x:c>
      <x:c r="O64" s="20" t="d">
        <x:v>2026-10-16T00:00:00.000Z</x:v>
      </x:c>
      <x:c r="P64" s="24" t="str">
        <x:v>COP-D09950B7E1</x:v>
      </x:c>
      <x:c r="Q64" s="19" t="str">
        <x:v>Released / rolling out</x:v>
      </x:c>
      <x:c r="R64" s="19"/>
      <x:c r="S64" s="19" t="str"/>
      <x:c r="T64" s="19" t="str"/>
      <x:c r="U64" s="20" t="d">
        <x:v>2026-10-01T00:00:00.000Z</x:v>
      </x:c>
    </x:row>
    <x:row r="65" ht="70" customHeight="1">
      <x:c r="A65" s="21" t="d">
        <x:v>2026-09-30T00:00:00.000Z</x:v>
      </x:c>
      <x:c r="B65" s="19" t="str">
        <x:v>Source report date. Announced phased rollout. Availability precision: Window / relative timing</x:v>
      </x:c>
      <x:c r="C65" s="19" t="str">
        <x:v>Chat / Word / Excel / PowerPoint</x:v>
      </x:c>
      <x:c r="D65" s="19" t="str">
        <x:v>GPT-6.1 Sol and Sonnet 5.5</x:v>
      </x:c>
      <x:c r="E65" s="19" t="str">
        <x:v>Phased subscription rollout with limits.</x:v>
      </x:c>
      <x:c r="F65" s="23" t="str">
        <x:v>Medium</x:v>
      </x:c>
      <x:c r="G65" s="19" t="str">
        <x:v>Test newer models for daily document work while understanding usage limits.</x:v>
      </x:c>
      <x:c r="H65" s="19" t="str">
        <x:v>Provides newer model choices, with practical benefit dependent on workload, access limits, and cost.</x:v>
      </x:c>
      <x:c r="I65" s="19" t="str">
        <x:v>Announced phased rollout</x:v>
      </x:c>
      <x:c r="J65" s="19" t="str">
        <x:v>Copilot USL; limits apply
License/access/region vary</x:v>
      </x:c>
      <x:c r="K65" s="19" t="str">
        <x:v>Week after September 30</x:v>
      </x:c>
      <x:c r="L65" s="25" t="str">
        <x:f>IFERROR(HYPERLINK("https://techcommunity.microsoft.com/blog/microsoft-copilot-blog/available-today-openais-gpt-6-1-sol-and-claude-sonnet-5-5-in-microsoft-copilot/4560801","GPT-6.1 Sol and Claude Sonnet 5.5 in Microsoft Copilot"),"GPT-6.1 Sol and Claude Sonnet 5.5 in Microsoft Copilot")</x:f>
        <x:v>GPT-6.1 Sol and Claude Sonnet 5.5 in Microsoft Copilot</x:v>
      </x:c>
      <x:c r="M65" s="25" t="str"/>
      <x:c r="N65" s="20" t="d">
        <x:v>2026-09-30T00:00:00.000Z</x:v>
      </x:c>
      <x:c r="O65" s="20" t="d">
        <x:v>2026-10-16T00:00:00.000Z</x:v>
      </x:c>
      <x:c r="P65" s="24" t="str">
        <x:v>COP-5B7A9D79F2</x:v>
      </x:c>
      <x:c r="Q65" s="19" t="str">
        <x:v>Announced phased rollout</x:v>
      </x:c>
      <x:c r="R65" s="19" t="str">
        <x:v>Approaching limits triggers warnings; Auto or another model remains an option. Completion not independently verified.</x:v>
      </x:c>
      <x:c r="S65" s="19" t="str"/>
      <x:c r="T65" s="19" t="str"/>
      <x:c r="U65" s="20" t="d">
        <x:v>2026-09-30T00:00:00.000Z</x:v>
      </x:c>
    </x:row>
    <x:row r="66" ht="70" customHeight="1">
      <x:c r="A66" s="21" t="d">
        <x:v>2026-09-30T00:00:00.000Z</x:v>
      </x:c>
      <x:c r="B66" s="19" t="str">
        <x:v>Source report date. Frontier rollout. Availability precision: Month only</x:v>
      </x:c>
      <x:c r="C66" s="19" t="str">
        <x:v>Copilot / SharePoint Framework</x:v>
      </x:c>
      <x:c r="D66" s="19" t="str">
        <x:v>Interactive chat components</x:v>
      </x:c>
      <x:c r="E66" s="19" t="str">
        <x:v>SPFx apps can present interactive chat UI.</x:v>
      </x:c>
      <x:c r="F66" s="23" t="str">
        <x:v>High</x:v>
      </x:c>
      <x:c r="G66" s="19" t="str">
        <x:v>Use an approved embedded control to inspect or act on project data.</x:v>
      </x:c>
      <x:c r="H66" s="19" t="str">
        <x:v>Lets a conversation expose business controls instead of only describing an external action.</x:v>
      </x:c>
      <x:c r="I66" s="19" t="str">
        <x:v>Frontier rollout</x:v>
      </x:c>
      <x:c r="J66" s="19" t="str">
        <x:v>Relevant Microsoft 365 Copilot entitlement; announcement does not fully specify licensing
Requires compatible SharePoint Framework app and tenant approval</x:v>
      </x:c>
      <x:c r="K66" s="19" t="str">
        <x:v>2026-09</x:v>
      </x:c>
      <x:c r="L66"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66" s="25" t="str"/>
      <x:c r="N66" s="20" t="d">
        <x:v>2026-09-30T00:00:00.000Z</x:v>
      </x:c>
      <x:c r="O66" s="20" t="d">
        <x:v>2026-10-16T00:00:00.000Z</x:v>
      </x:c>
      <x:c r="P66" s="24" t="str">
        <x:v>COP-94A2764DEB</x:v>
      </x:c>
      <x:c r="Q66" s="19" t="str">
        <x:v>Frontier rollout</x:v>
      </x:c>
      <x:c r="R66" s="19" t="str"/>
      <x:c r="S66" s="19" t="str"/>
      <x:c r="T66" s="19" t="str"/>
      <x:c r="U66" s="20" t="d">
        <x:v>2026-09-30T00:00:00.000Z</x:v>
      </x:c>
    </x:row>
    <x:row r="67" ht="70" customHeight="1">
      <x:c r="A67" s="21" t="d">
        <x:v>2026-09-30T00:00:00.000Z</x:v>
      </x:c>
      <x:c r="B67" s="19" t="str">
        <x:v>Stated effective date. Rollout started. Availability precision: Exact day</x:v>
      </x:c>
      <x:c r="C67" s="19" t="str">
        <x:v>Copilot administration</x:v>
      </x:c>
      <x:c r="D67" s="19" t="str">
        <x:v>Central plugin assignment</x:v>
      </x:c>
      <x:c r="E67" s="19" t="str">
        <x:v>Approve, block, and assign plugins centrally.</x:v>
      </x:c>
      <x:c r="F67" s="23" t="str">
        <x:v>Medium</x:v>
      </x:c>
      <x:c r="G67" s="19" t="str">
        <x:v>Establish controlled access to external tools before users depend on them for delivery.</x:v>
      </x:c>
      <x:c r="H67" s="19" t="str">
        <x:v>Gives administrators a coherent way to target plugin availability rather than handle each app separately. The productivity benefit is indirect and mainly affects administrators or purchasing decisions.</x:v>
      </x:c>
      <x:c r="I67" s="19" t="str">
        <x:v>Rollout started</x:v>
      </x:c>
      <x:c r="J67" s="19" t="str">
        <x:v>Qualifying Microsoft cloud subscription
Microsoft 365 admin center / Agent 365</x:v>
      </x:c>
      <x:c r="K67" s="19" t="str">
        <x:v>2026-09-30</x:v>
      </x:c>
      <x:c r="L67" s="25" t="str">
        <x:f>IFERROR(HYPERLINK("https://techcommunity.microsoft.com/blog/microsoft-copilot-blog/introducing-the-plugin-registry---one-place-to-discover-and-govern-plugins-for-m/4559682","Introducing the plugin registry"),"Introducing the plugin registry")</x:f>
        <x:v>Introducing the plugin registry</x:v>
      </x:c>
      <x:c r="M67" s="25" t="str"/>
      <x:c r="N67" s="20" t="d">
        <x:v>2026-09-30T00:00:00.000Z</x:v>
      </x:c>
      <x:c r="O67" s="20" t="d">
        <x:v>2026-10-16T00:00:00.000Z</x:v>
      </x:c>
      <x:c r="P67" s="24" t="str">
        <x:v>COP-26AB6065F8</x:v>
      </x:c>
      <x:c r="Q67" s="19" t="str">
        <x:v>Rollout started</x:v>
      </x:c>
      <x:c r="R67" s="19" t="str"/>
      <x:c r="S67" s="19" t="str"/>
      <x:c r="T67" s="19" t="str"/>
      <x:c r="U67" s="20" t="d">
        <x:v>2026-09-30T00:00:00.000Z</x:v>
      </x:c>
    </x:row>
    <x:row r="68" ht="70" customHeight="1">
      <x:c r="A68" s="21" t="d">
        <x:v>2026-09-30T00:00:00.000Z</x:v>
      </x:c>
      <x:c r="B68" s="19" t="str">
        <x:v>Source report date. Released / rolling out. Availability precision: Month only</x:v>
      </x:c>
      <x:c r="C68" s="19" t="str">
        <x:v>Copilot Chat</x:v>
      </x:c>
      <x:c r="D68" s="19" t="str">
        <x:v>Inline skills and agents</x:v>
      </x:c>
      <x:c r="E68" s="19" t="str">
        <x:v>Invoke specialized capabilities within prompts.</x:v>
      </x:c>
      <x:c r="F68" s="23" t="str">
        <x:v>Medium</x:v>
      </x:c>
      <x:c r="G68" s="19" t="str">
        <x:v>Bring reusable review instructions into a conversation without changing workspaces.</x:v>
      </x:c>
      <x:c r="H68" s="19" t="str">
        <x:v>Makes specialist functionality easier to invoke during an existing conversation.</x:v>
      </x:c>
      <x:c r="I68" s="19" t="str">
        <x:v>Released / rolling out</x:v>
      </x:c>
      <x:c r="J68" s="19" t="str">
        <x:v>Microsoft 365 Copilot; confirm tenant entitlement
Not specified in announcement; verify tenant availability</x:v>
      </x:c>
      <x:c r="K68" s="19" t="str">
        <x:v>2026-09</x:v>
      </x:c>
      <x:c r="L68"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68" s="25" t="str"/>
      <x:c r="N68" s="20" t="d">
        <x:v>2026-09-30T00:00:00.000Z</x:v>
      </x:c>
      <x:c r="O68" s="20" t="d">
        <x:v>2026-10-16T00:00:00.000Z</x:v>
      </x:c>
      <x:c r="P68" s="24" t="str">
        <x:v>COP-AE021F025C</x:v>
      </x:c>
      <x:c r="Q68" s="19" t="str">
        <x:v>Released / rolling out</x:v>
      </x:c>
      <x:c r="R68" s="19" t="str"/>
      <x:c r="S68" s="19" t="str"/>
      <x:c r="T68" s="19" t="str"/>
      <x:c r="U68" s="20" t="d">
        <x:v>2026-09-30T00:00:00.000Z</x:v>
      </x:c>
    </x:row>
    <x:row r="69" ht="70" customHeight="1">
      <x:c r="A69" s="21" t="d">
        <x:v>2026-09-30T00:00:00.000Z</x:v>
      </x:c>
      <x:c r="B69" s="19" t="str">
        <x:v>Source report date. Released / rolling out. Availability precision: Month only</x:v>
      </x:c>
      <x:c r="C69" s="19" t="str">
        <x:v>Copilot Chat</x:v>
      </x:c>
      <x:c r="D69" s="19" t="str">
        <x:v>Scanned-PDF retrieval</x:v>
      </x:c>
      <x:c r="E69" s="19" t="str">
        <x:v>Improve matching of scanned document content.</x:v>
      </x:c>
      <x:c r="F69" s="23" t="str">
        <x:v>Medium</x:v>
      </x:c>
      <x:c r="G69" s="19" t="str">
        <x:v>Find relevant evidence in older scanned contracts or operational records with less manual review.</x:v>
      </x:c>
      <x:c r="H69" s="19" t="str">
        <x:v>Unlocks document evidence that text-only retrieval may miss.</x:v>
      </x:c>
      <x:c r="I69" s="19" t="str">
        <x:v>Released / rolling out</x:v>
      </x:c>
      <x:c r="J69" s="19" t="str">
        <x:v>Microsoft 365 Copilot; confirm tenant entitlement
Not specified in announcement; verify tenant availability</x:v>
      </x:c>
      <x:c r="K69" s="19" t="str">
        <x:v>2026-09</x:v>
      </x:c>
      <x:c r="L69"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69" s="25" t="str"/>
      <x:c r="N69" s="20" t="d">
        <x:v>2026-09-30T00:00:00.000Z</x:v>
      </x:c>
      <x:c r="O69" s="20" t="d">
        <x:v>2026-10-16T00:00:00.000Z</x:v>
      </x:c>
      <x:c r="P69" s="24" t="str">
        <x:v>COP-DB42051F27</x:v>
      </x:c>
      <x:c r="Q69" s="19" t="str">
        <x:v>Released / rolling out</x:v>
      </x:c>
      <x:c r="R69" s="19" t="str"/>
      <x:c r="S69" s="19" t="str"/>
      <x:c r="T69" s="19" t="str"/>
      <x:c r="U69" s="20" t="d">
        <x:v>2026-09-30T00:00:00.000Z</x:v>
      </x:c>
    </x:row>
    <x:row r="70" ht="70" customHeight="1">
      <x:c r="A70" s="21" t="d">
        <x:v>2026-09-30T00:00:00.000Z</x:v>
      </x:c>
      <x:c r="B70" s="19" t="str">
        <x:v>Source report date. Released / rolling out. Availability precision: Month only</x:v>
      </x:c>
      <x:c r="C70" s="19" t="str">
        <x:v>Copilot connectors / plugins</x:v>
      </x:c>
      <x:c r="D70" s="19" t="str">
        <x:v>September industry integrations</x:v>
      </x:c>
      <x:c r="E70" s="19" t="str">
        <x:v>Adds further specialized data and agent integrations.</x:v>
      </x:c>
      <x:c r="F70" s="23" t="str">
        <x:v>High</x:v>
      </x:c>
      <x:c r="G70" s="19" t="str">
        <x:v>Explore authorized research sources for an industry briefing.</x:v>
      </x:c>
      <x:c r="H70" s="19" t="str">
        <x:v>Brings more sector-specific evidence into work without requiring separate retrieval steps.</x:v>
      </x:c>
      <x:c r="I70" s="19" t="str">
        <x:v>Released / rolling out</x:v>
      </x:c>
      <x:c r="J70" s="19" t="str">
        <x:v>Copilot entitlement plus partner/data rights as applicable
Examples: D&amp;B, Fiscal AI, PrivCo, PubMed, BioRender, Rystad, Webflow; provider and regional availability vary</x:v>
      </x:c>
      <x:c r="K70" s="19" t="str">
        <x:v>2026-09</x:v>
      </x:c>
      <x:c r="L70"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70" s="25" t="str"/>
      <x:c r="N70" s="20" t="d">
        <x:v>2026-09-30T00:00:00.000Z</x:v>
      </x:c>
      <x:c r="O70" s="20" t="d">
        <x:v>2026-10-16T00:00:00.000Z</x:v>
      </x:c>
      <x:c r="P70" s="24" t="str">
        <x:v>COP-658B4CB2CC</x:v>
      </x:c>
      <x:c r="Q70" s="19" t="str">
        <x:v>Released / rolling out</x:v>
      </x:c>
      <x:c r="R70" s="19" t="str">
        <x:v>Grouped announcement; not a complete inventory of individual connector launch dates.</x:v>
      </x:c>
      <x:c r="S70" s="19" t="str"/>
      <x:c r="T70" s="19" t="str"/>
      <x:c r="U70" s="20" t="d">
        <x:v>2026-09-30T00:00:00.000Z</x:v>
      </x:c>
    </x:row>
    <x:row r="71" ht="70" customHeight="1">
      <x:c r="A71" s="21" t="d">
        <x:v>2026-09-30T00:00:00.000Z</x:v>
      </x:c>
      <x:c r="B71" s="19" t="str">
        <x:v>Source report date. Released / rolling out. Availability precision: Month only</x:v>
      </x:c>
      <x:c r="C71" s="19" t="str">
        <x:v>Copilot Dashboard / Viva Pulse</x:v>
      </x:c>
      <x:c r="D71" s="19" t="str">
        <x:v>Targeted adoption surveys</x:v>
      </x:c>
      <x:c r="E71" s="19" t="str">
        <x:v>Builds survey audiences from adoption data.</x:v>
      </x:c>
      <x:c r="F71" s="23" t="str">
        <x:v>Medium</x:v>
      </x:c>
      <x:c r="G71" s="19" t="str">
        <x:v>Survey a relevant adoption cohort before planning training.</x:v>
      </x:c>
      <x:c r="H71" s="19" t="str">
        <x:v>Combines usage signals with feedback without manually maintaining recipient lists.</x:v>
      </x:c>
      <x:c r="I71" s="19" t="str">
        <x:v>Released / rolling out</x:v>
      </x:c>
      <x:c r="J71" s="19" t="str">
        <x:v>Relevant Microsoft 365 Copilot entitlement; announcement does not fully specify licensing
Aggregated population reporting; applicable dashboard/Pulse entitlement and roles required</x:v>
      </x:c>
      <x:c r="K71" s="19" t="str">
        <x:v>2026-09</x:v>
      </x:c>
      <x:c r="L71"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71" s="25" t="str"/>
      <x:c r="N71" s="20" t="d">
        <x:v>2026-09-30T00:00:00.000Z</x:v>
      </x:c>
      <x:c r="O71" s="20" t="d">
        <x:v>2026-10-16T00:00:00.000Z</x:v>
      </x:c>
      <x:c r="P71" s="24" t="str">
        <x:v>COP-EF9E85B8AA</x:v>
      </x:c>
      <x:c r="Q71" s="19" t="str">
        <x:v>Released / rolling out</x:v>
      </x:c>
      <x:c r="R71" s="19"/>
      <x:c r="S71" s="19" t="str"/>
      <x:c r="T71" s="19" t="str"/>
      <x:c r="U71" s="20" t="d">
        <x:v>2026-09-30T00:00:00.000Z</x:v>
      </x:c>
    </x:row>
    <x:row r="72" ht="70" customHeight="1">
      <x:c r="A72" s="21" t="d">
        <x:v>2026-09-30T00:00:00.000Z</x:v>
      </x:c>
      <x:c r="B72" s="19" t="str">
        <x:v>Stated effective date. Experimental preview tooling. Availability precision: Exact day</x:v>
      </x:c>
      <x:c r="C72" s="19" t="str">
        <x:v>Copilot developer tooling</x:v>
      </x:c>
      <x:c r="D72" s="19" t="str">
        <x:v>WIQD plugin publishing</x:v>
      </x:c>
      <x:c r="E72" s="19" t="str">
        <x:v>Build, validate, package, and publish reusable integrations.</x:v>
      </x:c>
      <x:c r="F72" s="23" t="str">
        <x:v>Medium</x:v>
      </x:c>
      <x:c r="G72" s="19" t="str">
        <x:v>Package an internal workflow for repeatable deployment instead of maintaining separate integrations per app.</x:v>
      </x:c>
      <x:c r="H72" s="19" t="str">
        <x:v>Potentially streamlines integration delivery, but experimental unsupported tooling is unsuitable for untested production reliance.</x:v>
      </x:c>
      <x:c r="I72" s="19" t="str">
        <x:v>Experimental preview tooling</x:v>
      </x:c>
      <x:c r="J72" s="19" t="str">
        <x:v>Qualifying Microsoft cloud subscription; service-specific requirements
Supported publishing routes vary</x:v>
      </x:c>
      <x:c r="K72" s="19" t="str">
        <x:v>2026-09-30</x:v>
      </x:c>
      <x:c r="L72" s="25" t="str">
        <x:f>IFERROR(HYPERLINK("https://techcommunity.microsoft.com/blog/microsoft-copilot-blog/introducing-the-plugin-registry---one-place-to-discover-and-govern-plugins-for-m/4559682","Introducing the plugin registry"),"Introducing the plugin registry")</x:f>
        <x:v>Introducing the plugin registry</x:v>
      </x:c>
      <x:c r="M72" s="25" t="str">
        <x:f>IFERROR(HYPERLINK("https://learn.microsoft.com/en-us/microsoft-365/copilot/connectors/federated-connectors-overview","Additional Microsoft source"),"Additional Microsoft source")</x:f>
        <x:v>Additional Microsoft source</x:v>
      </x:c>
      <x:c r="N72" s="20" t="d">
        <x:v>2026-09-30T00:00:00.000Z</x:v>
      </x:c>
      <x:c r="O72" s="20" t="d">
        <x:v>2026-10-16T00:00:00.000Z</x:v>
      </x:c>
      <x:c r="P72" s="24" t="str">
        <x:v>COP-13CDE8DC87</x:v>
      </x:c>
      <x:c r="Q72" s="19" t="str">
        <x:v>Experimental preview tooling</x:v>
      </x:c>
      <x:c r="R72" s="19" t="str">
        <x:v>Official connector overview warns WIQD is prerelease, not production-ready or officially supported, with breaking changes expected.</x:v>
      </x:c>
      <x:c r="S72" s="19" t="str"/>
      <x:c r="T72" s="19" t="str"/>
      <x:c r="U72" s="20" t="d">
        <x:v>2026-09-30T00:00:00.000Z</x:v>
      </x:c>
    </x:row>
    <x:row r="73" ht="70" customHeight="1">
      <x:c r="A73" s="21" t="d">
        <x:v>2026-09-30T00:00:00.000Z</x:v>
      </x:c>
      <x:c r="B73" s="19" t="str">
        <x:v>Source report date. Planned. Availability precision: Window / relative timing</x:v>
      </x:c>
      <x:c r="C73" s="19" t="str">
        <x:v>Copilot extensibility</x:v>
      </x:c>
      <x:c r="D73" s="19" t="str">
        <x:v>Broader registry destinations</x:v>
      </x:c>
      <x:c r="E73" s="19" t="str">
        <x:v>Studio, GitHub Copilot, and Foundry support planned.</x:v>
      </x:c>
      <x:c r="F73" s="23" t="str">
        <x:v>Medium</x:v>
      </x:c>
      <x:c r="G73" s="19" t="str">
        <x:v>Plan integration reuse cautiously; do not assume one package already reaches every Microsoft AI product.</x:v>
      </x:c>
      <x:c r="H73" s="19" t="str">
        <x:v>Affects integration planning, though no operational benefit should be assumed before those destinations launch.</x:v>
      </x:c>
      <x:c r="I73" s="19" t="str">
        <x:v>Planned</x:v>
      </x:c>
      <x:c r="J73" s="19" t="str">
        <x:v>Microsoft 365 Copilot; confirm tenant entitlement
No rollout date committed</x:v>
      </x:c>
      <x:c r="K73" s="19" t="str">
        <x:v>Future; no date</x:v>
      </x:c>
      <x:c r="L73" s="25" t="str">
        <x:f>IFERROR(HYPERLINK("https://techcommunity.microsoft.com/blog/microsoft-copilot-blog/introducing-the-plugin-registry---one-place-to-discover-and-govern-plugins-for-m/4559682","Introducing the plugin registry"),"Introducing the plugin registry")</x:f>
        <x:v>Introducing the plugin registry</x:v>
      </x:c>
      <x:c r="M73" s="25" t="str"/>
      <x:c r="N73" s="20" t="d">
        <x:v>2026-09-30T00:00:00.000Z</x:v>
      </x:c>
      <x:c r="O73" s="20" t="d">
        <x:v>2026-10-16T00:00:00.000Z</x:v>
      </x:c>
      <x:c r="P73" s="24" t="str">
        <x:v>COP-CF4024DA4D</x:v>
      </x:c>
      <x:c r="Q73" s="19" t="str">
        <x:v>Planned</x:v>
      </x:c>
      <x:c r="R73" s="19"/>
      <x:c r="S73" s="19" t="str"/>
      <x:c r="T73" s="19" t="str"/>
      <x:c r="U73" s="20" t="d">
        <x:v>2026-09-30T00:00:00.000Z</x:v>
      </x:c>
    </x:row>
    <x:row r="74" ht="70" customHeight="1">
      <x:c r="A74" s="21" t="d">
        <x:v>2026-09-30T00:00:00.000Z</x:v>
      </x:c>
      <x:c r="B74" s="19" t="str">
        <x:v>Stated effective date. Rollout started. Availability precision: Exact day</x:v>
      </x:c>
      <x:c r="C74" s="19" t="str">
        <x:v>Copilot extensibility</x:v>
      </x:c>
      <x:c r="D74" s="19" t="str">
        <x:v>Unified plugin registry</x:v>
      </x:c>
      <x:c r="E74" s="19" t="str">
        <x:v>Discover and govern packaged skills, connectors, and agents.</x:v>
      </x:c>
      <x:c r="F74" s="23" t="str">
        <x:v>Medium</x:v>
      </x:c>
      <x:c r="G74" s="19" t="str">
        <x:v>Review a reusable integration once and deploy it more consistently across supported work experiences.</x:v>
      </x:c>
      <x:c r="H74" s="19" t="str">
        <x:v>Centralizes discovery of reusable integrations and reduces fragmented extension management. The productivity benefit is indirect and mainly affects administrators or purchasing decisions.</x:v>
      </x:c>
      <x:c r="I74" s="19" t="str">
        <x:v>Rollout started</x:v>
      </x:c>
      <x:c r="J74" s="19" t="str">
        <x:v>Basic registry with qualifying Microsoft cloud subscriptions; partner costs vary
Supported Copilot/Office/SharePoint experiences</x:v>
      </x:c>
      <x:c r="K74" s="19" t="str">
        <x:v>2026-09-30</x:v>
      </x:c>
      <x:c r="L74" s="25" t="str">
        <x:f>IFERROR(HYPERLINK("https://techcommunity.microsoft.com/blog/microsoft-copilot-blog/introducing-the-plugin-registry---one-place-to-discover-and-govern-plugins-for-m/4559682","Introducing the plugin registry"),"Introducing the plugin registry")</x:f>
        <x:v>Introducing the plugin registry</x:v>
      </x:c>
      <x:c r="M74" s="25" t="str"/>
      <x:c r="N74" s="20" t="d">
        <x:v>2026-09-30T00:00:00.000Z</x:v>
      </x:c>
      <x:c r="O74" s="20" t="d">
        <x:v>2026-10-16T00:00:00.000Z</x:v>
      </x:c>
      <x:c r="P74" s="24" t="str">
        <x:v>COP-70DD4AB94F</x:v>
      </x:c>
      <x:c r="Q74" s="19" t="str">
        <x:v>Rollout started</x:v>
      </x:c>
      <x:c r="R74" s="19"/>
      <x:c r="S74" s="19" t="str"/>
      <x:c r="T74" s="19" t="str"/>
      <x:c r="U74" s="20" t="d">
        <x:v>2026-09-30T00:00:00.000Z</x:v>
      </x:c>
    </x:row>
    <x:row r="75" ht="130" customHeight="1">
      <x:c r="A75" s="21" t="d">
        <x:v>2026-09-30T00:00:00.000Z</x:v>
      </x:c>
      <x:c r="B75" s="19" t="str">
        <x:v>Source report date. Announced rollout window; tenant completion unverified. Availability precision: Window / relative timing</x:v>
      </x:c>
      <x:c r="C75" s="19" t="str">
        <x:v>Copilot federated connectors</x:v>
      </x:c>
      <x:c r="D75" s="19" t="str">
        <x:v>Write, update, and delete actions</x:v>
      </x:c>
      <x:c r="E75" s="19" t="str">
        <x:v>MCP connectors gain mutation tools with user approval.</x:v>
      </x:c>
      <x:c r="F75" s="23" t="str">
        <x:v>High</x:v>
      </x:c>
      <x:c r="G75" s="19" t="str">
        <x:v>Create a service ticket from an escalation and update the customer record after reviewing proposed fields.</x:v>
      </x:c>
      <x:c r="H75" s="19" t="str">
        <x:v>Moves connected workflows from researching records to completing record changes.</x:v>
      </x:c>
      <x:c r="I75" s="19" t="str">
        <x:v>Supported in current documentation; rollout completion not stated</x:v>
      </x:c>
      <x:c r="J75" s="19" t="str">
        <x:v>Microsoft 365 Copilot license; source-system access; publisher-supplied tools; admin availability and user scope. User approval required. Researcher stays read-only.</x:v>
      </x:c>
      <x:c r="K75" s="19" t="str">
        <x:v>Early October 2026 original plan; supported in documentation checked October 23</x:v>
      </x:c>
      <x:c r="L75" s="25" t="str">
        <x:f>IFERROR(HYPERLINK("https://learn.microsoft.com/en-us/microsoft-365/copilot/connectors/federated-connectors-overview","Federated connectors overview"),"Federated connectors overview")</x:f>
        <x:v>Federated connectors overview</x:v>
      </x:c>
      <x:c r="M75" s="25" t="str"/>
      <x:c r="N75" s="20" t="d">
        <x:v>2026-09-30T00:00:00.000Z</x:v>
      </x:c>
      <x:c r="O75" s="20" t="d">
        <x:v>2026-10-23T00:00:00.000Z</x:v>
      </x:c>
      <x:c r="P75" s="24" t="str">
        <x:v>COP-C7893F3B12</x:v>
      </x:c>
      <x:c r="Q75" s="19" t="str">
        <x:v>Announced rollout window; tenant completion unverified</x:v>
      </x:c>
      <x:c r="R75" s="19" t="str">
        <x:v>Page updated Sep 30 says begins rolling earlyOctober; section remains Coming soon. No universal availability assertion. Per-tool approval can be once, conversation, or persistent; new/changed tools reset approval. Review October 23: current page (updated October 16) now describes write/update/delete as supported, without Coming soon on actions. Tools-view admin UI remains Coming soon. Exact launch and tenant completion remain unverified.</x:v>
      </x:c>
      <x:c r="S75" s="19" t="str"/>
      <x:c r="T75" s="19" t="str"/>
      <x:c r="U75" s="20" t="d">
        <x:v>2026-09-30T00:00:00.000Z</x:v>
      </x:c>
    </x:row>
    <x:row r="76" ht="85" customHeight="1">
      <x:c r="A76" s="21" t="d">
        <x:v>2026-09-30T00:00:00.000Z</x:v>
      </x:c>
      <x:c r="B76" s="19" t="str">
        <x:v>Source report date. Announced October rollout; completion unverified. Availability precision: Month only</x:v>
      </x:c>
      <x:c r="C76" s="19" t="str">
        <x:v>Copilot in Edge</x:v>
      </x:c>
      <x:c r="D76" s="19" t="str">
        <x:v>Unified new-tab experience</x:v>
      </x:c>
      <x:c r="E76" s="19" t="str">
        <x:v>Combines search, chat, actions, and work content.</x:v>
      </x:c>
      <x:c r="F76" s="23" t="str">
        <x:v>Medium</x:v>
      </x:c>
      <x:c r="G76" s="19" t="str">
        <x:v>Start a follow-up task from relevant work content without opening several entry points.</x:v>
      </x:c>
      <x:c r="H76" s="19" t="str">
        <x:v>Could make work discovery more immediate from the browser start page.</x:v>
      </x:c>
      <x:c r="I76" s="19" t="str">
        <x:v>Announced October rollout; completion unverified</x:v>
      </x:c>
      <x:c r="J76" s="19" t="str">
        <x:v>Relevant Microsoft 365 Copilot entitlement; announcement does not fully specify licensing
Tenant availability and applicable admin policy must be checked</x:v>
      </x:c>
      <x:c r="K76" s="19" t="str">
        <x:v>2026-10</x:v>
      </x:c>
      <x:c r="L76"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76" s="25" t="str"/>
      <x:c r="N76" s="20" t="d">
        <x:v>2026-09-30T00:00:00.000Z</x:v>
      </x:c>
      <x:c r="O76" s="20" t="d">
        <x:v>2026-10-16T00:00:00.000Z</x:v>
      </x:c>
      <x:c r="P76" s="24" t="str">
        <x:v>COP-4A8AD86A86</x:v>
      </x:c>
      <x:c r="Q76" s="19" t="str">
        <x:v>Announced October rollout; completion unverified</x:v>
      </x:c>
      <x:c r="R76" s="19" t="str"/>
      <x:c r="S76" s="19" t="str"/>
      <x:c r="T76" s="19" t="str"/>
      <x:c r="U76" s="20" t="d">
        <x:v>2026-09-30T00:00:00.000Z</x:v>
      </x:c>
    </x:row>
    <x:row r="77" ht="64" customHeight="1">
      <x:c r="A77" s="21" t="d">
        <x:v>2026-09-30T00:00:00.000Z</x:v>
      </x:c>
      <x:c r="B77" s="19" t="str">
        <x:v>Stated effective date. GA rollout. Availability precision: Exact day</x:v>
      </x:c>
      <x:c r="C77" s="19" t="str">
        <x:v>Copilot in OneDrive</x:v>
      </x:c>
      <x:c r="D77" s="19" t="str">
        <x:v>Rebuilt experience</x:v>
      </x:c>
      <x:c r="E77" s="19" t="str">
        <x:v>Common content-work foundation with SharePoint.</x:v>
      </x:c>
      <x:c r="F77" s="23" t="str">
        <x:v>Medium</x:v>
      </x:c>
      <x:c r="G77" s="19" t="str">
        <x:v>Apply similar file workflows across personal and team content locations.</x:v>
      </x:c>
      <x:c r="H77" s="19" t="str">
        <x:v>Brings content actions closer to files users already manage, reducing app switching.</x:v>
      </x:c>
      <x:c r="I77" s="19" t="str">
        <x:v>GA rollout</x:v>
      </x:c>
      <x:c r="J77" s="19" t="str">
        <x:v>Same licensing approach as Copilot in SharePoint
Tenant rollout varies</x:v>
      </x:c>
      <x:c r="K77" s="19" t="str">
        <x:v>2026-09-30</x:v>
      </x:c>
      <x:c r="L77" s="25" t="str">
        <x:f>IFERROR(HYPERLINK("https://techcommunity.microsoft.com/blog/spblog/sharepoint-ai-innovations-hit-ga-powering-new-copilot-app-and-agents/4555724","SharePoint AI innovations hit GA, powering new Copilot app and agents"),"SharePoint AI innovations hit GA, powering new Copilot app and agents")</x:f>
        <x:v>SharePoint AI innovations hit GA, powering new Copilot app and agents</x:v>
      </x:c>
      <x:c r="M77" s="25" t="str"/>
      <x:c r="N77" s="20" t="d">
        <x:v>2026-09-25T00:00:00.000Z</x:v>
      </x:c>
      <x:c r="O77" s="20" t="d">
        <x:v>2026-10-16T00:00:00.000Z</x:v>
      </x:c>
      <x:c r="P77" s="24" t="str">
        <x:v>COP-187E5CCFDD</x:v>
      </x:c>
      <x:c r="Q77" s="19" t="str">
        <x:v>GA rollout</x:v>
      </x:c>
      <x:c r="R77" s="19" t="str">
        <x:v> Supersedes August roundup forecast of December worldwide availability with later explicit September30 GA milestone.</x:v>
      </x:c>
      <x:c r="S77" s="19" t="str"/>
      <x:c r="T77" s="19" t="str"/>
      <x:c r="U77" s="20" t="d">
        <x:v>2026-09-25T00:00:00.000Z</x:v>
      </x:c>
    </x:row>
    <x:row r="78" ht="70" customHeight="1">
      <x:c r="A78" s="21" t="d">
        <x:v>2026-09-30T00:00:00.000Z</x:v>
      </x:c>
      <x:c r="B78" s="19" t="str">
        <x:v>Stated effective date. GA rollout started. Availability precision: Exact day</x:v>
      </x:c>
      <x:c r="C78" s="19" t="str">
        <x:v>Copilot in SharePoint</x:v>
      </x:c>
      <x:c r="D78" s="19" t="str">
        <x:v>General availability</x:v>
      </x:c>
      <x:c r="E78" s="19" t="str">
        <x:v>Content creation, organization, and action workflows leave preview.</x:v>
      </x:c>
      <x:c r="F78" s="23" t="str">
        <x:v>High</x:v>
      </x:c>
      <x:c r="G78" s="19" t="str">
        <x:v>Consider production pilots for document-heavy operational processes.</x:v>
      </x:c>
      <x:c r="H78" s="19" t="str">
        <x:v>A production-availability milestone broadens deployment options for Copilot in SharePoint, while tenant prerequisites and metered costs still require review.</x:v>
      </x:c>
      <x:c r="I78" s="19" t="str">
        <x:v>GA rollout started</x:v>
      </x:c>
      <x:c r="J78" s="19" t="str">
        <x:v>Microsoft 365 Copilot; advanced features use Credits
Tenant rollout varies</x:v>
      </x:c>
      <x:c r="K78" s="19" t="str">
        <x:v>2026-09-30</x:v>
      </x:c>
      <x:c r="L78" s="25" t="str">
        <x:f>IFERROR(HYPERLINK("https://techcommunity.microsoft.com/blog/spblog/sharepoint-ai-innovations-hit-ga-powering-new-copilot-app-and-agents/4555724","SharePoint AI innovations hit GA, powering new Copilot app and agents"),"SharePoint AI innovations hit GA, powering new Copilot app and agents")</x:f>
        <x:v>SharePoint AI innovations hit GA, powering new Copilot app and agents</x:v>
      </x:c>
      <x:c r="M78" s="25" t="str"/>
      <x:c r="N78" s="20" t="d">
        <x:v>2026-09-25T00:00:00.000Z</x:v>
      </x:c>
      <x:c r="O78" s="20" t="d">
        <x:v>2026-10-16T00:00:00.000Z</x:v>
      </x:c>
      <x:c r="P78" s="24" t="str">
        <x:v>COP-94CA0FAD84</x:v>
      </x:c>
      <x:c r="Q78" s="19" t="str">
        <x:v>GA rollout started</x:v>
      </x:c>
      <x:c r="R78" s="19" t="str">
        <x:v>September 25 announcement; October 1 update confirms rollout began September 30.</x:v>
      </x:c>
      <x:c r="S78" s="19" t="str"/>
      <x:c r="T78" s="19" t="str"/>
      <x:c r="U78" s="20" t="d">
        <x:v>2026-09-25T00:00:00.000Z</x:v>
      </x:c>
    </x:row>
    <x:row r="79" ht="70" customHeight="1">
      <x:c r="A79" s="21" t="d">
        <x:v>2026-09-30T00:00:00.000Z</x:v>
      </x:c>
      <x:c r="B79" s="19" t="str">
        <x:v>Source report date. Released / rolling out. Availability precision: Month only</x:v>
      </x:c>
      <x:c r="C79" s="19" t="str">
        <x:v>Copilot in Teams / Outlook</x:v>
      </x:c>
      <x:c r="D79" s="19" t="str">
        <x:v>Refreshed chat design</x:v>
      </x:c>
      <x:c r="E79" s="19" t="str">
        <x:v>Navigation aligns with the Copilot app.</x:v>
      </x:c>
      <x:c r="F79" s="23" t="str">
        <x:v>Low</x:v>
      </x:c>
      <x:c r="G79" s="19" t="str">
        <x:v>Apply the same navigation habits across work surfaces.</x:v>
      </x:c>
      <x:c r="H79" s="19" t="str">
        <x:v>Reduces learning and navigation inconsistency rather than adding task capability.</x:v>
      </x:c>
      <x:c r="I79" s="19" t="str">
        <x:v>Released / rolling out</x:v>
      </x:c>
      <x:c r="J79" s="19" t="str">
        <x:v>Relevant Microsoft 365 Copilot entitlement; announcement does not fully specify licensing
Tenant availability and applicable admin policy must be checked</x:v>
      </x:c>
      <x:c r="K79" s="19" t="str">
        <x:v>2026-09</x:v>
      </x:c>
      <x:c r="L79"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79" s="25" t="str"/>
      <x:c r="N79" s="20" t="d">
        <x:v>2026-09-30T00:00:00.000Z</x:v>
      </x:c>
      <x:c r="O79" s="20" t="d">
        <x:v>2026-10-16T00:00:00.000Z</x:v>
      </x:c>
      <x:c r="P79" s="24" t="str">
        <x:v>COP-9D0FB1A56C</x:v>
      </x:c>
      <x:c r="Q79" s="19" t="str">
        <x:v>Released / rolling out</x:v>
      </x:c>
      <x:c r="R79" s="19"/>
      <x:c r="S79" s="19" t="str"/>
      <x:c r="T79" s="19" t="str"/>
      <x:c r="U79" s="20" t="d">
        <x:v>2026-09-30T00:00:00.000Z</x:v>
      </x:c>
    </x:row>
    <x:row r="80" ht="70" customHeight="1">
      <x:c r="A80" s="21" t="d">
        <x:v>2026-09-30T00:00:00.000Z</x:v>
      </x:c>
      <x:c r="B80" s="19" t="str">
        <x:v>Source report date. Released / rolling out. Availability precision: Month only</x:v>
      </x:c>
      <x:c r="C80" s="19" t="str">
        <x:v>Copilot mobile</x:v>
      </x:c>
      <x:c r="D80" s="19" t="str">
        <x:v>Record</x:v>
      </x:c>
      <x:c r="E80" s="19" t="str">
        <x:v>Capture audio with transcripts and AI summaries.</x:v>
      </x:c>
      <x:c r="F80" s="23" t="str">
        <x:v>Medium</x:v>
      </x:c>
      <x:c r="G80" s="19" t="str">
        <x:v>Turn an in-person discussion into searchable notes and next steps while context is fresh.</x:v>
      </x:c>
      <x:c r="H80" s="19" t="str">
        <x:v>Turns spoken context into usable work material, with recording consent and review still required.</x:v>
      </x:c>
      <x:c r="I80" s="19" t="str">
        <x:v>Released / rolling out</x:v>
      </x:c>
      <x:c r="J80" s="19" t="str">
        <x:v>Microsoft 365 Copilot; confirm tenant entitlement
Mobile; obtain recording permissions as appropriate</x:v>
      </x:c>
      <x:c r="K80" s="19" t="str">
        <x:v>2026-09</x:v>
      </x:c>
      <x:c r="L80"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80" s="25" t="str"/>
      <x:c r="N80" s="20" t="d">
        <x:v>2026-09-30T00:00:00.000Z</x:v>
      </x:c>
      <x:c r="O80" s="20" t="d">
        <x:v>2026-10-16T00:00:00.000Z</x:v>
      </x:c>
      <x:c r="P80" s="24" t="str">
        <x:v>COP-C10F997D44</x:v>
      </x:c>
      <x:c r="Q80" s="19" t="str">
        <x:v>Released / rolling out</x:v>
      </x:c>
      <x:c r="R80" s="19" t="str"/>
      <x:c r="S80" s="19" t="str"/>
      <x:c r="T80" s="19" t="str"/>
      <x:c r="U80" s="20" t="d">
        <x:v>2026-09-30T00:00:00.000Z</x:v>
      </x:c>
    </x:row>
    <x:row r="81" ht="64" customHeight="1">
      <x:c r="A81" s="21" t="d">
        <x:v>2026-09-30T00:00:00.000Z</x:v>
      </x:c>
      <x:c r="B81" s="19" t="str">
        <x:v>Stated effective date. Rollout started. Availability precision: Exact day</x:v>
      </x:c>
      <x:c r="C81" s="19" t="str">
        <x:v>Cowork / Copilot Studio</x:v>
      </x:c>
      <x:c r="D81" s="19" t="str">
        <x:v>GPT-6.1 Sol and Sonnet 5.5</x:v>
      </x:c>
      <x:c r="E81" s="19" t="str">
        <x:v>New models begin metered rollout.</x:v>
      </x:c>
      <x:c r="F81" s="23" t="str">
        <x:v>Medium</x:v>
      </x:c>
      <x:c r="G81" s="19" t="str">
        <x:v>Re-evaluate quality and cost for delegated work rather than assuming previous model tradeoffs remain unchanged.</x:v>
      </x:c>
      <x:c r="H81" s="19" t="str">
        <x:v>Provides newer model choices, with practical benefit dependent on workload, access limits, and cost.</x:v>
      </x:c>
      <x:c r="I81" s="19" t="str">
        <x:v>Rollout started</x:v>
      </x:c>
      <x:c r="J81" s="19" t="str">
        <x:v>Usage-based billing
License/access/region vary</x:v>
      </x:c>
      <x:c r="K81" s="19" t="str">
        <x:v>2026-09-30</x:v>
      </x:c>
      <x:c r="L81" s="25" t="str">
        <x:f>IFERROR(HYPERLINK("https://techcommunity.microsoft.com/blog/microsoft-copilot-blog/available-today-openais-gpt-6-1-sol-and-claude-sonnet-5-5-in-microsoft-copilot/4560801","GPT-6.1 Sol and Claude Sonnet 5.5 in Microsoft Copilot"),"GPT-6.1 Sol and Claude Sonnet 5.5 in Microsoft Copilot")</x:f>
        <x:v>GPT-6.1 Sol and Claude Sonnet 5.5 in Microsoft Copilot</x:v>
      </x:c>
      <x:c r="M81" s="25" t="str"/>
      <x:c r="N81" s="20" t="d">
        <x:v>2026-09-30T00:00:00.000Z</x:v>
      </x:c>
      <x:c r="O81" s="20" t="d">
        <x:v>2026-10-16T00:00:00.000Z</x:v>
      </x:c>
      <x:c r="P81" s="24" t="str">
        <x:v>COP-402734ACE1</x:v>
      </x:c>
      <x:c r="Q81" s="19" t="str">
        <x:v>Rollout started</x:v>
      </x:c>
      <x:c r="R81" s="19" t="str"/>
      <x:c r="S81" s="19" t="str"/>
      <x:c r="T81" s="19" t="str"/>
      <x:c r="U81" s="20" t="d">
        <x:v>2026-09-30T00:00:00.000Z</x:v>
      </x:c>
    </x:row>
    <x:row r="82" ht="70" customHeight="1">
      <x:c r="A82" s="21" t="d">
        <x:v>2026-09-30T00:00:00.000Z</x:v>
      </x:c>
      <x:c r="B82" s="19" t="str">
        <x:v>Source report date. Released / rolling out. Availability precision: Month only</x:v>
      </x:c>
      <x:c r="C82" s="19" t="str">
        <x:v>PowerPoint</x:v>
      </x:c>
      <x:c r="D82" s="19" t="str">
        <x:v>Connected-source grounding</x:v>
      </x:c>
      <x:c r="E82" s="19" t="str">
        <x:v>Uses information from connected business applications.</x:v>
      </x:c>
      <x:c r="F82" s="23" t="str">
        <x:v>High</x:v>
      </x:c>
      <x:c r="G82" s="19" t="str">
        <x:v>Create a pipeline review from authorized connected-system data.</x:v>
      </x:c>
      <x:c r="H82" s="19" t="str">
        <x:v>Brings operational context into slides without manually copying source information.</x:v>
      </x:c>
      <x:c r="I82" s="19" t="str">
        <x:v>Released / rolling out</x:v>
      </x:c>
      <x:c r="J82" s="19" t="str">
        <x:v>Copilot entitlement and enabled connectors; partner/source rights may be required
Tenant availability and applicable admin policy must be checked</x:v>
      </x:c>
      <x:c r="K82" s="19" t="str">
        <x:v>2026-09</x:v>
      </x:c>
      <x:c r="L82"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82" s="25" t="str"/>
      <x:c r="N82" s="20" t="d">
        <x:v>2026-09-30T00:00:00.000Z</x:v>
      </x:c>
      <x:c r="O82" s="20" t="d">
        <x:v>2026-10-16T00:00:00.000Z</x:v>
      </x:c>
      <x:c r="P82" s="24" t="str">
        <x:v>COP-639B0613E7</x:v>
      </x:c>
      <x:c r="Q82" s="19" t="str">
        <x:v>Released / rolling out</x:v>
      </x:c>
      <x:c r="R82" s="19" t="str"/>
      <x:c r="S82" s="19" t="str"/>
      <x:c r="T82" s="19" t="str"/>
      <x:c r="U82" s="20" t="d">
        <x:v>2026-09-30T00:00:00.000Z</x:v>
      </x:c>
    </x:row>
    <x:row r="83" ht="70" customHeight="1">
      <x:c r="A83" s="21" t="d">
        <x:v>2026-09-30T00:00:00.000Z</x:v>
      </x:c>
      <x:c r="B83" s="19" t="str">
        <x:v>Source report date. Announced October rollout. Availability precision: Month only</x:v>
      </x:c>
      <x:c r="C83" s="19" t="str">
        <x:v>PowerPoint</x:v>
      </x:c>
      <x:c r="D83" s="19" t="str">
        <x:v>Persistent background tasks</x:v>
      </x:c>
      <x:c r="E83" s="19" t="str">
        <x:v>Long-running work continues after leaving the app.</x:v>
      </x:c>
      <x:c r="F83" s="23" t="str">
        <x:v>Medium</x:v>
      </x:c>
      <x:c r="G83" s="19" t="str">
        <x:v>Delegate substantial deck work while continuing other tasks or changing devices.</x:v>
      </x:c>
      <x:c r="H83" s="19" t="str">
        <x:v>Allows longer deck work to continue without holding the user in one foreground session.</x:v>
      </x:c>
      <x:c r="I83" s="19" t="str">
        <x:v>Announced October rollout</x:v>
      </x:c>
      <x:c r="J83" s="19" t="str">
        <x:v>Eligible Copilot
Completion not independently verified by October 16</x:v>
      </x:c>
      <x:c r="K83" s="19" t="str">
        <x:v>2026-10</x:v>
      </x:c>
      <x:c r="L83"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83" s="25" t="str"/>
      <x:c r="N83" s="20" t="d">
        <x:v>2026-09-30T00:00:00.000Z</x:v>
      </x:c>
      <x:c r="O83" s="20" t="d">
        <x:v>2026-10-16T00:00:00.000Z</x:v>
      </x:c>
      <x:c r="P83" s="24" t="str">
        <x:v>COP-CF9CCF40BA</x:v>
      </x:c>
      <x:c r="Q83" s="19" t="str">
        <x:v>Announced October rollout</x:v>
      </x:c>
      <x:c r="R83" s="19" t="str">
        <x:v>September 30 post schedules October; do not assume universal availability.</x:v>
      </x:c>
      <x:c r="S83" s="19" t="str"/>
      <x:c r="T83" s="19" t="str"/>
      <x:c r="U83" s="20" t="d">
        <x:v>2026-09-30T00:00:00.000Z</x:v>
      </x:c>
    </x:row>
    <x:row r="84" ht="85" customHeight="1">
      <x:c r="A84" s="21" t="d">
        <x:v>2026-09-30T00:00:00.000Z</x:v>
      </x:c>
      <x:c r="B84" s="19" t="str">
        <x:v>Source report date. Announced October rollout; completion unverified. Availability precision: Month only</x:v>
      </x:c>
      <x:c r="C84" s="19" t="str">
        <x:v>PowerPoint Brand Kit</x:v>
      </x:c>
      <x:c r="D84" s="19" t="str">
        <x:v>Skills inside Brand Kits</x:v>
      </x:c>
      <x:c r="E84" s="19" t="str">
        <x:v>Bundles brand guidance with reusable workflows.</x:v>
      </x:c>
      <x:c r="F84" s="23" t="str">
        <x:v>Medium</x:v>
      </x:c>
      <x:c r="G84" s="19" t="str">
        <x:v>Package a recurring customer-review workflow with the approved visual kit.</x:v>
      </x:c>
      <x:c r="H84" s="19" t="str">
        <x:v>Could standardize both presentation appearance and the process used to create it.</x:v>
      </x:c>
      <x:c r="I84" s="19" t="str">
        <x:v>Announced October rollout; completion unverified</x:v>
      </x:c>
      <x:c r="J84" s="19" t="str">
        <x:v>Relevant Microsoft 365 Copilot entitlement; announcement does not fully specify licensing
Tenant availability and applicable admin policy must be checked</x:v>
      </x:c>
      <x:c r="K84" s="19" t="str">
        <x:v>2026-10</x:v>
      </x:c>
      <x:c r="L84"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84" s="25" t="str"/>
      <x:c r="N84" s="20" t="d">
        <x:v>2026-09-30T00:00:00.000Z</x:v>
      </x:c>
      <x:c r="O84" s="20" t="d">
        <x:v>2026-10-16T00:00:00.000Z</x:v>
      </x:c>
      <x:c r="P84" s="24" t="str">
        <x:v>COP-11E78760EB</x:v>
      </x:c>
      <x:c r="Q84" s="19" t="str">
        <x:v>Announced October rollout; completion unverified</x:v>
      </x:c>
      <x:c r="R84" s="19" t="str">
        <x:v>Distinct from September organization-managed skill assignment.</x:v>
      </x:c>
      <x:c r="S84" s="19" t="str"/>
      <x:c r="T84" s="19" t="str"/>
      <x:c r="U84" s="20" t="d">
        <x:v>2026-09-30T00:00:00.000Z</x:v>
      </x:c>
    </x:row>
    <x:row r="85" ht="64" customHeight="1">
      <x:c r="A85" s="21" t="d">
        <x:v>2026-09-30T00:00:00.000Z</x:v>
      </x:c>
      <x:c r="B85" s="19" t="str">
        <x:v>Source report date. Frontier rollout. Availability precision: Month only</x:v>
      </x:c>
      <x:c r="C85" s="19" t="str">
        <x:v>SharePoint / OneDrive Search</x:v>
      </x:c>
      <x:c r="D85" s="19" t="str">
        <x:v>Copilot Search becomes default</x:v>
      </x:c>
      <x:c r="E85" s="19" t="str">
        <x:v>AI-grounded search becomes the entry experience.</x:v>
      </x:c>
      <x:c r="F85" s="23" t="str">
        <x:v>High</x:v>
      </x:c>
      <x:c r="G85" s="19" t="str">
        <x:v>Use a natural-language question to locate a document and inspect its grounded answer.</x:v>
      </x:c>
      <x:c r="H85" s="19" t="str">
        <x:v>Changes everyday content discovery at a broad collaboration surface.</x:v>
      </x:c>
      <x:c r="I85" s="19" t="str">
        <x:v>Frontier rollout</x:v>
      </x:c>
      <x:c r="J85" s="19" t="str">
        <x:v>Relevant Microsoft 365 Copilot entitlement; announcement does not fully specify licensing
Supported authorized content only; tenant rollout varies</x:v>
      </x:c>
      <x:c r="K85" s="19" t="str">
        <x:v>2026-09</x:v>
      </x:c>
      <x:c r="L85"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85" s="25" t="str"/>
      <x:c r="N85" s="20" t="d">
        <x:v>2026-09-30T00:00:00.000Z</x:v>
      </x:c>
      <x:c r="O85" s="20" t="d">
        <x:v>2026-10-16T00:00:00.000Z</x:v>
      </x:c>
      <x:c r="P85" s="24" t="str">
        <x:v>COP-8A4A0E63D8</x:v>
      </x:c>
      <x:c r="Q85" s="19" t="str">
        <x:v>Frontier rollout</x:v>
      </x:c>
      <x:c r="R85" s="19" t="str"/>
      <x:c r="S85" s="19" t="str"/>
      <x:c r="T85" s="19" t="str"/>
      <x:c r="U85" s="20" t="d">
        <x:v>2026-09-30T00:00:00.000Z</x:v>
      </x:c>
    </x:row>
    <x:row r="86" ht="85" customHeight="1">
      <x:c r="A86" s="21" t="d">
        <x:v>2026-09-30T00:00:00.000Z</x:v>
      </x:c>
      <x:c r="B86" s="19" t="str">
        <x:v>Stated effective date. GA. Availability precision: Exact day</x:v>
      </x:c>
      <x:c r="C86" s="19" t="str">
        <x:v>Teams Phone Agent</x:v>
      </x:c>
      <x:c r="D86" s="19" t="str">
        <x:v>Admin-center configuration</x:v>
      </x:c>
      <x:c r="E86" s="19" t="str">
        <x:v>Configure bookings, recording, and duration in admin UI.</x:v>
      </x:c>
      <x:c r="F86" s="23" t="str">
        <x:v>Medium</x:v>
      </x:c>
      <x:c r="G86" s="19" t="str">
        <x:v>Reduce dependence on scripts for common operational settings.</x:v>
      </x:c>
      <x:c r="H86" s="19" t="str">
        <x:v>Makes common phone-agent settings accessible to administrators who do not maintain PowerShell scripts.</x:v>
      </x:c>
      <x:c r="I86" s="19" t="str">
        <x:v>GA</x:v>
      </x:c>
      <x:c r="J86" s="19" t="str">
        <x:v>Teams Phone prerequisites plus usage-based billing in Copilot Credits; funded spending policy required
Not supported in India; admin and telephony prerequisites apply. Without configured policy or credits, falls back to Auto Attendant.</x:v>
      </x:c>
      <x:c r="K86" s="19" t="str">
        <x:v>2026-09-30</x:v>
      </x:c>
      <x:c r="L86" s="25" t="str">
        <x:f>IFERROR(HYPERLINK("https://learn.microsoft.com/en-us/microsoftteams/aa-cq-setup-teams-phone-agent","Setup - Teams Phone Agent"),"Setup - Teams Phone Agent")</x:f>
        <x:v>Setup - Teams Phone Agent</x:v>
      </x:c>
      <x:c r="M86" s="25" t="str"/>
      <x:c r="N86" s="20" t="d">
        <x:v>2026-09-30T00:00:00.000Z</x:v>
      </x:c>
      <x:c r="O86" s="20" t="d">
        <x:v>2026-10-16T00:00:00.000Z</x:v>
      </x:c>
      <x:c r="P86" s="24" t="str">
        <x:v>COP-CF04A3CD38</x:v>
      </x:c>
      <x:c r="Q86" s="19" t="str">
        <x:v>GA</x:v>
      </x:c>
      <x:c r="R86" s="19" t="str">
        <x:v>Date is the explicit dated changelog entry in the setup article, not an inferred page publication date.</x:v>
      </x:c>
      <x:c r="S86" s="19" t="str"/>
      <x:c r="T86" s="19" t="str"/>
      <x:c r="U86" s="20" t="d">
        <x:v>2026-09-30T00:00:00.000Z</x:v>
      </x:c>
    </x:row>
    <x:row r="87" ht="70" customHeight="1">
      <x:c r="A87" s="21" t="d">
        <x:v>2026-09-30T00:00:00.000Z</x:v>
      </x:c>
      <x:c r="B87" s="19" t="str">
        <x:v>Stated effective date. Released per dated changelog. Availability precision: Exact day</x:v>
      </x:c>
      <x:c r="C87" s="19" t="str">
        <x:v>Teams Phone Agent</x:v>
      </x:c>
      <x:c r="D87" s="19" t="str">
        <x:v>Daily knowledge URL refresh</x:v>
      </x:c>
      <x:c r="E87" s="19" t="str">
        <x:v>Question-and-answer source URLs refresh daily.</x:v>
      </x:c>
      <x:c r="F87" s="23" t="str">
        <x:v>Medium</x:v>
      </x:c>
      <x:c r="G87" s="19" t="str">
        <x:v>Update opening hours on the source website and verify the phone assistant after its refresh.</x:v>
      </x:c>
      <x:c r="H87" s="19" t="str">
        <x:v>Reduces stale caller answers when public service information changes.</x:v>
      </x:c>
      <x:c r="I87" s="19" t="str">
        <x:v>Released per dated changelog</x:v>
      </x:c>
      <x:c r="J87" s="19" t="str">
        <x:v>Teams Phone prerequisites; funded Copilot Credits spending policy
India unsupported; not real-time refresh.</x:v>
      </x:c>
      <x:c r="K87" s="19" t="str">
        <x:v>2026-09-30</x:v>
      </x:c>
      <x:c r="L87" s="25" t="str">
        <x:f>IFERROR(HYPERLINK("https://learn.microsoft.com/en-us/microsoftteams/aa-cq-setup-teams-phone-agent","Setup - Teams Phone Agent"),"Setup - Teams Phone Agent")</x:f>
        <x:v>Setup - Teams Phone Agent</x:v>
      </x:c>
      <x:c r="M87" s="25" t="str"/>
      <x:c r="N87" s="20" t="d">
        <x:v>2026-09-30T00:00:00.000Z</x:v>
      </x:c>
      <x:c r="O87" s="20" t="d">
        <x:v>2026-10-16T00:00:00.000Z</x:v>
      </x:c>
      <x:c r="P87" s="24" t="str">
        <x:v>COP-0D0F43F271</x:v>
      </x:c>
      <x:c r="Q87" s="19" t="str">
        <x:v>Released per dated changelog</x:v>
      </x:c>
      <x:c r="R87" s="19" t="str">
        <x:v>Explicit Sep 30 changelog item. This does not guarantee immediately refreshed answers.</x:v>
      </x:c>
      <x:c r="S87" s="19" t="str"/>
      <x:c r="T87" s="19" t="str"/>
      <x:c r="U87" s="20" t="d">
        <x:v>2026-09-30T00:00:00.000Z</x:v>
      </x:c>
    </x:row>
    <x:row r="88" ht="85" customHeight="1">
      <x:c r="A88" s="21" t="d">
        <x:v>2026-09-30T00:00:00.000Z</x:v>
      </x:c>
      <x:c r="B88" s="19" t="str">
        <x:v>Stated effective date. GA. Availability precision: Exact day</x:v>
      </x:c>
      <x:c r="C88" s="19" t="str">
        <x:v>Teams Phone Agent</x:v>
      </x:c>
      <x:c r="D88" s="19" t="str">
        <x:v>General availability</x:v>
      </x:c>
      <x:c r="E88" s="19" t="str">
        <x:v>AI receptionist reaches all customers.</x:v>
      </x:c>
      <x:c r="F88" s="23" t="str">
        <x:v>High</x:v>
      </x:c>
      <x:c r="G88" s="19" t="str">
        <x:v>Pilot handling routine calls and routing complex cases to staff.</x:v>
      </x:c>
      <x:c r="H88" s="19" t="str">
        <x:v>A production-availability milestone broadens deployment options for Teams Phone Agent, while tenant prerequisites and metered costs still require review.</x:v>
      </x:c>
      <x:c r="I88" s="19" t="str">
        <x:v>GA</x:v>
      </x:c>
      <x:c r="J88" s="19" t="str">
        <x:v>Teams Phone prerequisites plus usage-based billing in Copilot Credits; funded spending policy required
Not supported in India; admin and telephony prerequisites apply. Without configured policy or credits, falls back to Auto Attendant.</x:v>
      </x:c>
      <x:c r="K88" s="19" t="str">
        <x:v>2026-09-30</x:v>
      </x:c>
      <x:c r="L88" s="25" t="str">
        <x:f>IFERROR(HYPERLINK("https://learn.microsoft.com/en-us/microsoftteams/aa-cq-setup-teams-phone-agent","Setup - Teams Phone Agent"),"Setup - Teams Phone Agent")</x:f>
        <x:v>Setup - Teams Phone Agent</x:v>
      </x:c>
      <x:c r="M88" s="25" t="str"/>
      <x:c r="N88" s="20" t="d">
        <x:v>2026-09-30T00:00:00.000Z</x:v>
      </x:c>
      <x:c r="O88" s="20" t="d">
        <x:v>2026-10-16T00:00:00.000Z</x:v>
      </x:c>
      <x:c r="P88" s="24" t="str">
        <x:v>COP-6574106037</x:v>
      </x:c>
      <x:c r="Q88" s="19" t="str">
        <x:v>GA</x:v>
      </x:c>
      <x:c r="R88" s="19" t="str">
        <x:v>Date is the explicit dated changelog entry in the setup article, not an inferred page publication date.</x:v>
      </x:c>
      <x:c r="S88" s="19" t="str"/>
      <x:c r="T88" s="19" t="str"/>
      <x:c r="U88" s="20" t="d">
        <x:v>2026-09-30T00:00:00.000Z</x:v>
      </x:c>
    </x:row>
    <x:row r="89" ht="70" customHeight="1">
      <x:c r="A89" s="21" t="d">
        <x:v>2026-09-30T00:00:00.000Z</x:v>
      </x:c>
      <x:c r="B89" s="19" t="str">
        <x:v>Source report date. Released / rolling out. Availability precision: Month only</x:v>
      </x:c>
      <x:c r="C89" s="19" t="str">
        <x:v>Word</x:v>
      </x:c>
      <x:c r="D89" s="19" t="str">
        <x:v>Image and shape manipulation</x:v>
      </x:c>
      <x:c r="E89" s="19" t="str">
        <x:v>Arrange and modify document visuals conversationally.</x:v>
      </x:c>
      <x:c r="F89" s="23" t="str">
        <x:v>Medium</x:v>
      </x:c>
      <x:c r="G89" s="19" t="str">
        <x:v>Improve a report’s visual layout without many separate manual adjustments.</x:v>
      </x:c>
      <x:c r="H89" s="19" t="str">
        <x:v>Reduces manual layout operations in visually rich documents.</x:v>
      </x:c>
      <x:c r="I89" s="19" t="str">
        <x:v>Released / rolling out</x:v>
      </x:c>
      <x:c r="J89" s="19" t="str">
        <x:v>Microsoft 365 Copilot; confirm tenant entitlement
Not specified in announcement; verify tenant availability</x:v>
      </x:c>
      <x:c r="K89" s="19" t="str">
        <x:v>2026-09</x:v>
      </x:c>
      <x:c r="L89"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89" s="25" t="str"/>
      <x:c r="N89" s="20" t="d">
        <x:v>2026-09-30T00:00:00.000Z</x:v>
      </x:c>
      <x:c r="O89" s="20" t="d">
        <x:v>2026-10-16T00:00:00.000Z</x:v>
      </x:c>
      <x:c r="P89" s="24" t="str">
        <x:v>COP-FC736446BE</x:v>
      </x:c>
      <x:c r="Q89" s="19" t="str">
        <x:v>Released / rolling out</x:v>
      </x:c>
      <x:c r="R89" s="19"/>
      <x:c r="S89" s="19" t="str"/>
      <x:c r="T89" s="19" t="str"/>
      <x:c r="U89" s="20" t="d">
        <x:v>2026-09-30T00:00:00.000Z</x:v>
      </x:c>
    </x:row>
    <x:row r="90" ht="70" customHeight="1">
      <x:c r="A90" s="21" t="d">
        <x:v>2026-09-30T00:00:00.000Z</x:v>
      </x:c>
      <x:c r="B90" s="19" t="str">
        <x:v>Source report date. Released / rolling out. Availability precision: Month only</x:v>
      </x:c>
      <x:c r="C90" s="19" t="str">
        <x:v>Word</x:v>
      </x:c>
      <x:c r="D90" s="19" t="str">
        <x:v>Response source citations</x:v>
      </x:c>
      <x:c r="E90" s="19" t="str">
        <x:v>Show supporting work and web references.</x:v>
      </x:c>
      <x:c r="F90" s="23" t="str">
        <x:v>Medium</x:v>
      </x:c>
      <x:c r="G90" s="19" t="str">
        <x:v>Check whether a statement in a draft is grounded before passing it to a client or reviewer.</x:v>
      </x:c>
      <x:c r="H90" s="19" t="str">
        <x:v>Makes document-grounded answers easier to check before relying on them.</x:v>
      </x:c>
      <x:c r="I90" s="19" t="str">
        <x:v>Released / rolling out</x:v>
      </x:c>
      <x:c r="J90" s="19" t="str">
        <x:v>Microsoft 365 Copilot; confirm tenant entitlement
Not specified in announcement; verify tenant availability</x:v>
      </x:c>
      <x:c r="K90" s="19" t="str">
        <x:v>2026-09</x:v>
      </x:c>
      <x:c r="L90"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90" s="25" t="str"/>
      <x:c r="N90" s="20" t="d">
        <x:v>2026-09-30T00:00:00.000Z</x:v>
      </x:c>
      <x:c r="O90" s="20" t="d">
        <x:v>2026-10-16T00:00:00.000Z</x:v>
      </x:c>
      <x:c r="P90" s="24" t="str">
        <x:v>COP-E396EC488E</x:v>
      </x:c>
      <x:c r="Q90" s="19" t="str">
        <x:v>Released / rolling out</x:v>
      </x:c>
      <x:c r="R90" s="19"/>
      <x:c r="S90" s="19" t="str"/>
      <x:c r="T90" s="19" t="str"/>
      <x:c r="U90" s="20" t="d">
        <x:v>2026-09-30T00:00:00.000Z</x:v>
      </x:c>
    </x:row>
    <x:row r="91" ht="70" customHeight="1">
      <x:c r="A91" s="21" t="d">
        <x:v>2026-09-30T00:00:00.000Z</x:v>
      </x:c>
      <x:c r="B91" s="19" t="str">
        <x:v>Source report date. Released / rolling out. Availability precision: Month only</x:v>
      </x:c>
      <x:c r="C91" s="19" t="str">
        <x:v>Word / Excel / PowerPoint</x:v>
      </x:c>
      <x:c r="D91" s="19" t="str">
        <x:v>Android editing</x:v>
      </x:c>
      <x:c r="E91" s="19" t="str">
        <x:v>Copilot-powered edits reach Android apps.</x:v>
      </x:c>
      <x:c r="F91" s="23" t="str">
        <x:v>Medium</x:v>
      </x:c>
      <x:c r="G91" s="19" t="str">
        <x:v>Make substantive document updates from mobile during travel or site visits.</x:v>
      </x:c>
      <x:c r="H91" s="19" t="str">
        <x:v>Broadens supported work contexts for teams whose primary mobile devices run Android.</x:v>
      </x:c>
      <x:c r="I91" s="19" t="str">
        <x:v>Released / rolling out</x:v>
      </x:c>
      <x:c r="J91" s="19" t="str">
        <x:v>Microsoft 365 Copilot; confirm tenant entitlement
Android</x:v>
      </x:c>
      <x:c r="K91" s="19" t="str">
        <x:v>2026-09</x:v>
      </x:c>
      <x:c r="L91"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91" s="25" t="str"/>
      <x:c r="N91" s="20" t="d">
        <x:v>2026-09-30T00:00:00.000Z</x:v>
      </x:c>
      <x:c r="O91" s="20" t="d">
        <x:v>2026-10-16T00:00:00.000Z</x:v>
      </x:c>
      <x:c r="P91" s="24" t="str">
        <x:v>COP-B596110EAE</x:v>
      </x:c>
      <x:c r="Q91" s="19" t="str">
        <x:v>Released / rolling out</x:v>
      </x:c>
      <x:c r="R91" s="19" t="str"/>
      <x:c r="S91" s="19" t="str"/>
      <x:c r="T91" s="19" t="str"/>
      <x:c r="U91" s="20" t="d">
        <x:v>2026-09-30T00:00:00.000Z</x:v>
      </x:c>
    </x:row>
    <x:row r="92" ht="70" customHeight="1">
      <x:c r="A92" s="21" t="d">
        <x:v>2026-09-30T00:00:00.000Z</x:v>
      </x:c>
      <x:c r="B92" s="19" t="str">
        <x:v>Source report date. Frontier rollout announced. Availability precision: Month only</x:v>
      </x:c>
      <x:c r="C92" s="19" t="str">
        <x:v>Work IQ / SharePoint</x:v>
      </x:c>
      <x:c r="D92" s="19" t="str">
        <x:v>Content and action tools</x:v>
      </x:c>
      <x:c r="E92" s="19" t="str">
        <x:v>SharePoint intelligence and actions enter Work IQ.</x:v>
      </x:c>
      <x:c r="F92" s="23" t="str">
        <x:v>High</x:v>
      </x:c>
      <x:c r="G92" s="19" t="str">
        <x:v>Build a governed content-enrichment workflow using SharePoint operations.</x:v>
      </x:c>
      <x:c r="H92" s="19" t="str">
        <x:v>Enables broader agents to work with SharePoint content rather than only retrieve text.</x:v>
      </x:c>
      <x:c r="I92" s="19" t="str">
        <x:v>Frontier rollout announced</x:v>
      </x:c>
      <x:c r="J92" s="19" t="str">
        <x:v>Relevant Microsoft 365 Copilot entitlement; announcement does not fully specify licensing
Source says soon and rolling out September; individual availability unverified</x:v>
      </x:c>
      <x:c r="K92" s="19" t="str">
        <x:v>2026-09</x:v>
      </x:c>
      <x:c r="L92" s="25" t="str">
        <x:f>IFERROR(HYPERLINK("https://techcommunity.microsoft.com/blog/microsoft-copilot-blog/what%E2%80%99s-new-in-microsoft-copilot--september-2026/4559107","What’s New in Microsoft Copilot | September 2026"),"What’s New in Microsoft Copilot | September 2026")</x:f>
        <x:v>What’s New in Microsoft Copilot | September 2026</x:v>
      </x:c>
      <x:c r="M92" s="25" t="str"/>
      <x:c r="N92" s="20" t="d">
        <x:v>2026-09-30T00:00:00.000Z</x:v>
      </x:c>
      <x:c r="O92" s="20" t="d">
        <x:v>2026-10-16T00:00:00.000Z</x:v>
      </x:c>
      <x:c r="P92" s="24" t="str">
        <x:v>COP-19B271E41B</x:v>
      </x:c>
      <x:c r="Q92" s="19" t="str">
        <x:v>Frontier rollout announced</x:v>
      </x:c>
      <x:c r="R92" s="19" t="str">
        <x:v>Do not infer all tools available in every Copilot surface.</x:v>
      </x:c>
      <x:c r="S92" s="19" t="str"/>
      <x:c r="T92" s="19" t="str"/>
      <x:c r="U92" s="20" t="d">
        <x:v>2026-09-30T00:00:00.000Z</x:v>
      </x:c>
    </x:row>
    <x:row r="93" ht="70" customHeight="1">
      <x:c r="A93" s="21" t="d">
        <x:v>2026-09-29T00:00:00.000Z</x:v>
      </x:c>
      <x:c r="B93" s="19" t="str">
        <x:v>Source report date. Released / rolling out. Availability precision: Month only</x:v>
      </x:c>
      <x:c r="C93" s="19" t="str">
        <x:v>Excel</x:v>
      </x:c>
      <x:c r="D93" s="19" t="str">
        <x:v>Editing on iPad</x:v>
      </x:c>
      <x:c r="E93" s="19" t="str">
        <x:v>Copilot editing reaches Excel on iPad.</x:v>
      </x:c>
      <x:c r="F93" s="23" t="str">
        <x:v>Medium</x:v>
      </x:c>
      <x:c r="G93" s="19" t="str">
        <x:v>Adjust analysis or charts while traveling without waiting for a desktop session.</x:v>
      </x:c>
      <x:c r="H93" s="19" t="str">
        <x:v>Extends real workbook work to a mobile platform rather than limiting it to review.</x:v>
      </x:c>
      <x:c r="I93" s="19" t="str">
        <x:v>Released / rolling out</x:v>
      </x:c>
      <x:c r="J93" s="19" t="str">
        <x:v>Microsoft 365 Copilot; confirm tenant entitlement
iPad</x:v>
      </x:c>
      <x:c r="K93" s="19" t="str">
        <x:v>2026-09</x:v>
      </x:c>
      <x:c r="L93" s="25" t="str">
        <x:f>IFERROR(HYPERLINK("https://techcommunity.microsoft.com/blog/excelblog/whats-new-in-excel-september-2026/4549755","What’s New in Excel (September 2026)"),"What’s New in Excel (September 2026)")</x:f>
        <x:v>What’s New in Excel (September 2026)</x:v>
      </x:c>
      <x:c r="M93" s="25" t="str"/>
      <x:c r="N93" s="20" t="d">
        <x:v>2026-09-29T00:00:00.000Z</x:v>
      </x:c>
      <x:c r="O93" s="20" t="d">
        <x:v>2026-10-16T00:00:00.000Z</x:v>
      </x:c>
      <x:c r="P93" s="24" t="str">
        <x:v>COP-2C4EA1E924</x:v>
      </x:c>
      <x:c r="Q93" s="19" t="str">
        <x:v>Released / rolling out</x:v>
      </x:c>
      <x:c r="R93" s="19" t="str"/>
      <x:c r="S93" s="19" t="str"/>
      <x:c r="T93" s="19" t="str"/>
      <x:c r="U93" s="20" t="d">
        <x:v>2026-09-29T00:00:00.000Z</x:v>
      </x:c>
    </x:row>
    <x:row r="94" ht="70" customHeight="1">
      <x:c r="A94" s="21" t="d">
        <x:v>2026-09-25T00:00:00.000Z</x:v>
      </x:c>
      <x:c r="B94" s="19" t="str">
        <x:v>Source report date. Private preview expansion. Availability precision: Window / relative timing</x:v>
      </x:c>
      <x:c r="C94" s="19" t="str">
        <x:v>Copilot Autopilot</x:v>
      </x:c>
      <x:c r="D94" s="19" t="str">
        <x:v>Persistent personal agent</x:v>
      </x:c>
      <x:c r="E94" s="19" t="str">
        <x:v>Cloud-hosted agent continues delegated work over time.</x:v>
      </x:c>
      <x:c r="F94" s="23" t="str">
        <x:v>High</x:v>
      </x:c>
      <x:c r="G94" s="19" t="str">
        <x:v>Explore sustained project follow-up with explicit boundaries rather than repeatedly issuing one-off prompts.</x:v>
      </x:c>
      <x:c r="H94" s="19" t="str">
        <x:v>Enables ongoing delegated work rather than only isolated prompt-and-response sessions.</x:v>
      </x:c>
      <x:c r="I94" s="19" t="str">
        <x:v>Private preview expansion</x:v>
      </x:c>
      <x:c r="J94" s="19" t="str">
        <x:v>Copilot license plus usage-based billing
Access-limited; formerly Scout</x:v>
      </x:c>
      <x:c r="K94" s="19" t="str">
        <x:v>Late September 2026</x:v>
      </x:c>
      <x:c r="L94" s="25" t="str">
        <x:f>IFERROR(HYPERLINK("https://blogs.microsoft.com/blog/2026/09/25/introducing-the-new-copilot-with-home-code-and-autopilot/","Introducing the new Copilot with Home, Code and Autopilot"),"Introducing the new Copilot with Home, Code and Autopilot")</x:f>
        <x:v>Introducing the new Copilot with Home, Code and Autopilot</x:v>
      </x:c>
      <x:c r="M94" s="25" t="str"/>
      <x:c r="N94" s="20" t="d">
        <x:v>2026-09-25T00:00:00.000Z</x:v>
      </x:c>
      <x:c r="O94" s="20" t="d">
        <x:v>2026-10-16T00:00:00.000Z</x:v>
      </x:c>
      <x:c r="P94" s="24" t="str">
        <x:v>COP-BF9A3B7BF4</x:v>
      </x:c>
      <x:c r="Q94" s="19" t="str">
        <x:v>Private preview expansion</x:v>
      </x:c>
      <x:c r="R94" s="19"/>
      <x:c r="S94" s="19" t="str"/>
      <x:c r="T94" s="19" t="str"/>
      <x:c r="U94" s="20" t="d">
        <x:v>2026-09-25T00:00:00.000Z</x:v>
      </x:c>
    </x:row>
    <x:row r="95" ht="94" customHeight="1">
      <x:c r="A95" s="21" t="d">
        <x:v>2026-09-25T00:00:00.000Z</x:v>
      </x:c>
      <x:c r="B95" s="19" t="str">
        <x:v>Source report date. Announced Frontier rollout. Availability precision: Window / relative timing</x:v>
      </x:c>
      <x:c r="C95" s="19" t="str">
        <x:v>Copilot Code</x:v>
      </x:c>
      <x:c r="D95" s="19" t="str">
        <x:v>Build work solutions</x:v>
      </x:c>
      <x:c r="E95" s="19" t="str">
        <x:v>Create apps and automations through natural language.</x:v>
      </x:c>
      <x:c r="F95" s="23" t="str">
        <x:v>High</x:v>
      </x:c>
      <x:c r="G95" s="19" t="str">
        <x:v>Prototype a small operational tool when an ordinary document or spreadsheet is insufficient.</x:v>
      </x:c>
      <x:c r="H95" s="19" t="str">
        <x:v>Broadens automation creation beyond conventional document drafting, while requiring governance and testing.</x:v>
      </x:c>
      <x:c r="I95" s="19" t="str">
        <x:v>Announced Frontier rollout</x:v>
      </x:c>
      <x:c r="J95" s="19" t="str">
        <x:v>Copilot license plus usage-based billing
Verify tenant</x:v>
      </x:c>
      <x:c r="K95" s="19" t="str">
        <x:v>Weeks after September 25</x:v>
      </x:c>
      <x:c r="L95" s="25" t="str">
        <x:f>IFERROR(HYPERLINK("https://blogs.microsoft.com/blog/2026/09/25/introducing-the-new-copilot-with-home-code-and-autopilot/","Introducing the new Copilot with Home, Code and Autopilot"),"Introducing the new Copilot with Home, Code and Autopilot")</x:f>
        <x:v>Introducing the new Copilot with Home, Code and Autopilot</x:v>
      </x:c>
      <x:c r="M95" s="25" t="str">
        <x:f>IFERROR(HYPERLINK("https://techcommunity.microsoft.com/blog/microsoft-copilot-blog/copilot-code-make-the-power-of-coding-accessible-to-everyone/4562358","Copilot Code Frontier rollout, October 21"),"Copilot Code Frontier rollout, October 21")</x:f>
        <x:v>Copilot Code Frontier rollout, October 21</x:v>
      </x:c>
      <x:c r="N95" s="20" t="d">
        <x:v>2026-09-25T00:00:00.000Z</x:v>
      </x:c>
      <x:c r="O95" s="20" t="d">
        <x:v>2026-10-23T00:00:00.000Z</x:v>
      </x:c>
      <x:c r="P95" s="24" t="str">
        <x:v>COP-6DAA7AF72B</x:v>
      </x:c>
      <x:c r="Q95" s="19" t="str">
        <x:v>Announced Frontier rollout</x:v>
      </x:c>
      <x:c r="R95" s="19" t="str">
        <x:v> October 21 source confirms beginning Frontier rollout, not GA. Original September announcement retained; see linked milestone COP-78DFB0BADE.</x:v>
      </x:c>
      <x:c r="S95" s="19" t="str">
        <x:v>COP-78DFB0BADE</x:v>
      </x:c>
      <x:c r="T95" s="19"/>
      <x:c r="U95" s="20" t="d">
        <x:v>2026-09-25T00:00:00.000Z</x:v>
      </x:c>
    </x:row>
    <x:row r="96" ht="64" customHeight="1">
      <x:c r="A96" s="21" t="d">
        <x:v>2026-09-25T00:00:00.000Z</x:v>
      </x:c>
      <x:c r="B96" s="19" t="str">
        <x:v>Stated effective date. Rollout started. Availability precision: Exact day</x:v>
      </x:c>
      <x:c r="C96" s="19" t="str">
        <x:v>Copilot cost management</x:v>
      </x:c>
      <x:c r="D96" s="19" t="str">
        <x:v>End-user spend visibility</x:v>
      </x:c>
      <x:c r="E96" s="19" t="str">
        <x:v>Show consumed credits, balance, and usage history.</x:v>
      </x:c>
      <x:c r="F96" s="23" t="str">
        <x:v>Medium</x:v>
      </x:c>
      <x:c r="G96" s="19" t="str">
        <x:v>Give practitioners enough information to compare task value with actual AI spend.</x:v>
      </x:c>
      <x:c r="H96" s="19" t="str">
        <x:v>Gives users feedback that can influence costly behavior before a billing review.</x:v>
      </x:c>
      <x:c r="I96" s="19" t="str">
        <x:v>Rollout started</x:v>
      </x:c>
      <x:c r="J96" s="19" t="str">
        <x:v>Applicable Copilot Credits policy
Supported Copilot experiences</x:v>
      </x:c>
      <x:c r="K96" s="19" t="str">
        <x:v>2026-09-25</x:v>
      </x:c>
      <x:c r="L96" s="25" t="str">
        <x:f>IFERROR(HYPERLINK("https://techcommunity.microsoft.com/blog/microsoft-copilot-blog/evolution-of-the-copilot-pricing-model/4559416","Evolution of the Copilot pricing model"),"Evolution of the Copilot pricing model")</x:f>
        <x:v>Evolution of the Copilot pricing model</x:v>
      </x:c>
      <x:c r="M96" s="25" t="str"/>
      <x:c r="N96" s="20" t="d">
        <x:v>2026-09-25T00:00:00.000Z</x:v>
      </x:c>
      <x:c r="O96" s="20" t="d">
        <x:v>2026-10-16T00:00:00.000Z</x:v>
      </x:c>
      <x:c r="P96" s="24" t="str">
        <x:v>COP-E4614B7118</x:v>
      </x:c>
      <x:c r="Q96" s="19" t="str">
        <x:v>Rollout started</x:v>
      </x:c>
      <x:c r="R96" s="19"/>
      <x:c r="S96" s="19" t="str"/>
      <x:c r="T96" s="19" t="str"/>
      <x:c r="U96" s="20" t="d">
        <x:v>2026-09-25T00:00:00.000Z</x:v>
      </x:c>
    </x:row>
    <x:row r="97" ht="64" customHeight="1">
      <x:c r="A97" s="21" t="d">
        <x:v>2026-09-25T00:00:00.000Z</x:v>
      </x:c>
      <x:c r="B97" s="19" t="str">
        <x:v>Stated effective date. Rollout started. Availability precision: Exact day</x:v>
      </x:c>
      <x:c r="C97" s="19" t="str">
        <x:v>Copilot cost management</x:v>
      </x:c>
      <x:c r="D97" s="19" t="str">
        <x:v>Expanded workload scope</x:v>
      </x:c>
      <x:c r="E97" s="19" t="str">
        <x:v>Add Code and Managed Runtime to cost controls.</x:v>
      </x:c>
      <x:c r="F97" s="23" t="str">
        <x:v>Medium</x:v>
      </x:c>
      <x:c r="G97" s="19" t="str">
        <x:v>Apply budgets before testing agent-created apps or development workflows.</x:v>
      </x:c>
      <x:c r="H97" s="19" t="str">
        <x:v>Lets cost controls cover more workloads rather than leaving advanced usage in separate budget silos.</x:v>
      </x:c>
      <x:c r="I97" s="19" t="str">
        <x:v>Rollout started</x:v>
      </x:c>
      <x:c r="J97" s="19" t="str">
        <x:v>USL plus enabled usage-based billing
Studio-agent coverage planned October</x:v>
      </x:c>
      <x:c r="K97" s="19" t="str">
        <x:v>2026-09-25</x:v>
      </x:c>
      <x:c r="L97" s="25" t="str">
        <x:f>IFERROR(HYPERLINK("https://techcommunity.microsoft.com/blog/microsoft-copilot-blog/evolution-of-the-copilot-pricing-model/4559416","Evolution of the Copilot pricing model"),"Evolution of the Copilot pricing model")</x:f>
        <x:v>Evolution of the Copilot pricing model</x:v>
      </x:c>
      <x:c r="M97" s="25" t="str"/>
      <x:c r="N97" s="20" t="d">
        <x:v>2026-09-25T00:00:00.000Z</x:v>
      </x:c>
      <x:c r="O97" s="20" t="d">
        <x:v>2026-10-16T00:00:00.000Z</x:v>
      </x:c>
      <x:c r="P97" s="24" t="str">
        <x:v>COP-CE14ECA4AA</x:v>
      </x:c>
      <x:c r="Q97" s="19" t="str">
        <x:v>Rollout started</x:v>
      </x:c>
      <x:c r="R97" s="19"/>
      <x:c r="S97" s="19" t="str"/>
      <x:c r="T97" s="19"/>
      <x:c r="U97" s="20" t="d">
        <x:v>2026-09-25T00:00:00.000Z</x:v>
      </x:c>
    </x:row>
    <x:row r="98" ht="70" customHeight="1">
      <x:c r="A98" s="21" t="d">
        <x:v>2026-09-25T00:00:00.000Z</x:v>
      </x:c>
      <x:c r="B98" s="19" t="str">
        <x:v>Stated effective date. Rolling out in Cowork. Availability precision: Exact day</x:v>
      </x:c>
      <x:c r="C98" s="19" t="str">
        <x:v>Copilot cost management</x:v>
      </x:c>
      <x:c r="D98" s="19" t="str">
        <x:v>Group model controls</x:v>
      </x:c>
      <x:c r="E98" s="19" t="str">
        <x:v>Administrators restrict model-family access by group.</x:v>
      </x:c>
      <x:c r="F98" s="23" t="str">
        <x:v>Medium</x:v>
      </x:c>
      <x:c r="G98" s="19" t="str">
        <x:v>Match expensive models to appropriate teams while allowing controlled experimentation.</x:v>
      </x:c>
      <x:c r="H98" s="19" t="str">
        <x:v>Helps target expensive model access to the people and tasks that justify it. The productivity benefit is indirect and mainly affects administrators or purchasing decisions.</x:v>
      </x:c>
      <x:c r="I98" s="19" t="str">
        <x:v>Rolling out in Cowork</x:v>
      </x:c>
      <x:c r="J98" s="19" t="str">
        <x:v>Admin-configured UBB
Further workload expansion planned</x:v>
      </x:c>
      <x:c r="K98" s="19" t="str">
        <x:v>2026-09-25</x:v>
      </x:c>
      <x:c r="L98" s="25" t="str">
        <x:f>IFERROR(HYPERLINK("https://techcommunity.microsoft.com/blog/microsoft-copilot-blog/evolution-of-the-copilot-pricing-model/4559416","Evolution of the Copilot pricing model"),"Evolution of the Copilot pricing model")</x:f>
        <x:v>Evolution of the Copilot pricing model</x:v>
      </x:c>
      <x:c r="M98" s="25" t="str"/>
      <x:c r="N98" s="20" t="d">
        <x:v>2026-09-25T00:00:00.000Z</x:v>
      </x:c>
      <x:c r="O98" s="20" t="d">
        <x:v>2026-10-16T00:00:00.000Z</x:v>
      </x:c>
      <x:c r="P98" s="24" t="str">
        <x:v>COP-A7DDF54631</x:v>
      </x:c>
      <x:c r="Q98" s="19" t="str">
        <x:v>Rolling out in Cowork</x:v>
      </x:c>
      <x:c r="R98" s="19"/>
      <x:c r="S98" s="19" t="str"/>
      <x:c r="T98" s="19"/>
      <x:c r="U98" s="20" t="d">
        <x:v>2026-09-25T00:00:00.000Z</x:v>
      </x:c>
    </x:row>
    <x:row r="99" ht="64" customHeight="1">
      <x:c r="A99" s="21" t="d">
        <x:v>2026-09-25T00:00:00.000Z</x:v>
      </x:c>
      <x:c r="B99" s="19" t="str">
        <x:v>Stated effective date. Rollout started. Availability precision: Exact day</x:v>
      </x:c>
      <x:c r="C99" s="19" t="str">
        <x:v>Copilot cost management</x:v>
      </x:c>
      <x:c r="D99" s="19" t="str">
        <x:v>Programmatic policy management</x:v>
      </x:c>
      <x:c r="E99" s="19" t="str">
        <x:v>Manage spending policies through Microsoft Graph.</x:v>
      </x:c>
      <x:c r="F99" s="23" t="str">
        <x:v>Medium</x:v>
      </x:c>
      <x:c r="G99" s="19" t="str">
        <x:v>Integrate AI consumption policy into existing governance and budget tooling.</x:v>
      </x:c>
      <x:c r="H99" s="19" t="str">
        <x:v>Makes spending governance repeatable at scale through existing administrative automation.</x:v>
      </x:c>
      <x:c r="I99" s="19" t="str">
        <x:v>Rollout started</x:v>
      </x:c>
      <x:c r="J99" s="19" t="str">
        <x:v>Admin-configured UBB
Admin/API access required</x:v>
      </x:c>
      <x:c r="K99" s="19" t="str">
        <x:v>2026-09-25</x:v>
      </x:c>
      <x:c r="L99" s="25" t="str">
        <x:f>IFERROR(HYPERLINK("https://techcommunity.microsoft.com/blog/microsoft-copilot-blog/evolution-of-the-copilot-pricing-model/4559416","Evolution of the Copilot pricing model"),"Evolution of the Copilot pricing model")</x:f>
        <x:v>Evolution of the Copilot pricing model</x:v>
      </x:c>
      <x:c r="M99" s="25" t="str"/>
      <x:c r="N99" s="20" t="d">
        <x:v>2026-09-25T00:00:00.000Z</x:v>
      </x:c>
      <x:c r="O99" s="20" t="d">
        <x:v>2026-10-16T00:00:00.000Z</x:v>
      </x:c>
      <x:c r="P99" s="24" t="str">
        <x:v>COP-74F3A00EA6</x:v>
      </x:c>
      <x:c r="Q99" s="19" t="str">
        <x:v>Rollout started</x:v>
      </x:c>
      <x:c r="R99" s="19"/>
      <x:c r="S99" s="19" t="str"/>
      <x:c r="T99" s="19"/>
      <x:c r="U99" s="20" t="d">
        <x:v>2026-09-25T00:00:00.000Z</x:v>
      </x:c>
    </x:row>
    <x:row r="100" ht="64" customHeight="1">
      <x:c r="A100" s="21" t="d">
        <x:v>2026-09-25T00:00:00.000Z</x:v>
      </x:c>
      <x:c r="B100" s="19" t="str">
        <x:v>Source report date. Frontier. Availability precision: Month only</x:v>
      </x:c>
      <x:c r="C100" s="19" t="str">
        <x:v>Copilot Cowork</x:v>
      </x:c>
      <x:c r="D100" s="19" t="str">
        <x:v>App skill</x:v>
      </x:c>
      <x:c r="E100" s="19" t="str">
        <x:v>Create and publish lightweight interactive apps.</x:v>
      </x:c>
      <x:c r="F100" s="23" t="str">
        <x:v>Medium</x:v>
      </x:c>
      <x:c r="G100" s="19" t="str">
        <x:v>Prototype a simple team workflow interface from a plain-language specification.</x:v>
      </x:c>
      <x:c r="H100" s="19" t="str">
        <x:v>Expands delegated workflows into application creation but remains bounded by preview access and testing needs.</x:v>
      </x:c>
      <x:c r="I100" s="19" t="str">
        <x:v>Frontier</x:v>
      </x:c>
      <x:c r="J100" s="19" t="str">
        <x:v>Microsoft 365 Copilot plus usage-based billing
Organizational app publishing</x:v>
      </x:c>
      <x:c r="K100" s="19" t="str">
        <x:v>2026-09</x:v>
      </x:c>
      <x:c r="L100" s="25" t="str">
        <x:f>IFERROR(HYPERLINK("https://learn.microsoft.com/en-us/microsoft-365/copilot/cowork/whats-new","What’s new in Copilot Cowork"),"What’s new in Copilot Cowork")</x:f>
        <x:v>What’s new in Copilot Cowork</x:v>
      </x:c>
      <x:c r="M100" s="25" t="str"/>
      <x:c r="N100" s="20" t="d">
        <x:v>2026-09-25T00:00:00.000Z</x:v>
      </x:c>
      <x:c r="O100" s="20" t="d">
        <x:v>2026-10-16T00:00:00.000Z</x:v>
      </x:c>
      <x:c r="P100" s="24" t="str">
        <x:v>COP-FAD6AB943B</x:v>
      </x:c>
      <x:c r="Q100" s="19" t="str">
        <x:v>Frontier</x:v>
      </x:c>
      <x:c r="R100" s="19"/>
      <x:c r="S100" s="19" t="str"/>
      <x:c r="T100" s="19"/>
      <x:c r="U100" s="20" t="d">
        <x:v>2026-09-25T00:00:00.000Z</x:v>
      </x:c>
    </x:row>
    <x:row r="101" ht="64" customHeight="1">
      <x:c r="A101" s="21" t="d">
        <x:v>2026-09-25T00:00:00.000Z</x:v>
      </x:c>
      <x:c r="B101" s="19" t="str">
        <x:v>Source report date. Released. Availability precision: Month only</x:v>
      </x:c>
      <x:c r="C101" s="19" t="str">
        <x:v>Copilot Cowork</x:v>
      </x:c>
      <x:c r="D101" s="19" t="str">
        <x:v>Edit existing Office files</x:v>
      </x:c>
      <x:c r="E101" s="19" t="str">
        <x:v>Preserve shared files and existing version history.</x:v>
      </x:c>
      <x:c r="F101" s="23" t="str">
        <x:v>High</x:v>
      </x:c>
      <x:c r="G101" s="19" t="str">
        <x:v>Update the team’s live deliverable rather than returning another detached copy.</x:v>
      </x:c>
      <x:c r="H101" s="19" t="str">
        <x:v>Preserves continuity of a collaborative working file instead of creating disconnected replacement artifacts.</x:v>
      </x:c>
      <x:c r="I101" s="19" t="str">
        <x:v>Released</x:v>
      </x:c>
      <x:c r="J101" s="19" t="str">
        <x:v>Microsoft 365 Copilot plus usage-based billing
Word, Excel, PowerPoint in OneDrive/SharePoint</x:v>
      </x:c>
      <x:c r="K101" s="19" t="str">
        <x:v>2026-09</x:v>
      </x:c>
      <x:c r="L101" s="25" t="str">
        <x:f>IFERROR(HYPERLINK("https://learn.microsoft.com/en-us/microsoft-365/copilot/cowork/whats-new","What’s new in Copilot Cowork"),"What’s new in Copilot Cowork")</x:f>
        <x:v>What’s new in Copilot Cowork</x:v>
      </x:c>
      <x:c r="M101" s="25" t="str"/>
      <x:c r="N101" s="20" t="d">
        <x:v>2026-09-25T00:00:00.000Z</x:v>
      </x:c>
      <x:c r="O101" s="20" t="d">
        <x:v>2026-10-16T00:00:00.000Z</x:v>
      </x:c>
      <x:c r="P101" s="24" t="str">
        <x:v>COP-E1DE9A8995</x:v>
      </x:c>
      <x:c r="Q101" s="19" t="str">
        <x:v>Released</x:v>
      </x:c>
      <x:c r="R101" s="19"/>
      <x:c r="S101" s="19"/>
      <x:c r="T101" s="19"/>
      <x:c r="U101" s="20" t="d">
        <x:v>2026-09-25T00:00:00.000Z</x:v>
      </x:c>
    </x:row>
    <x:row r="102" ht="64" customHeight="1">
      <x:c r="A102" s="21" t="d">
        <x:v>2026-09-25T00:00:00.000Z</x:v>
      </x:c>
      <x:c r="B102" s="19" t="str">
        <x:v>Source report date. Released. Availability precision: Month only</x:v>
      </x:c>
      <x:c r="C102" s="19" t="str">
        <x:v>Copilot Cowork</x:v>
      </x:c>
      <x:c r="D102" s="19" t="str">
        <x:v>Event-driven tasks</x:v>
      </x:c>
      <x:c r="E102" s="19" t="str">
        <x:v>Run work after matching emails or Teams messages.</x:v>
      </x:c>
      <x:c r="F102" s="23" t="str">
        <x:v>High</x:v>
      </x:c>
      <x:c r="G102" s="19" t="str">
        <x:v>Prepare a structured response workflow when a relevant project event arrives.</x:v>
      </x:c>
      <x:c r="H102" s="19" t="str">
        <x:v>Removes repeated manual triggering when a workflow should start from a business event.</x:v>
      </x:c>
      <x:c r="I102" s="19" t="str">
        <x:v>Released</x:v>
      </x:c>
      <x:c r="J102" s="19" t="str">
        <x:v>Microsoft 365 Copilot plus usage-based billing
Email/Teams triggers; confirm automation behavior</x:v>
      </x:c>
      <x:c r="K102" s="19" t="str">
        <x:v>2026-08</x:v>
      </x:c>
      <x:c r="L102" s="25" t="str">
        <x:f>IFERROR(HYPERLINK("https://learn.microsoft.com/en-us/microsoft-365/copilot/cowork/whats-new","What’s new in Copilot Cowork"),"What’s new in Copilot Cowork")</x:f>
        <x:v>What’s new in Copilot Cowork</x:v>
      </x:c>
      <x:c r="M102" s="25" t="str"/>
      <x:c r="N102" s="20" t="d">
        <x:v>2026-09-25T00:00:00.000Z</x:v>
      </x:c>
      <x:c r="O102" s="20" t="d">
        <x:v>2026-10-16T00:00:00.000Z</x:v>
      </x:c>
      <x:c r="P102" s="24" t="str">
        <x:v>COP-4B1BA77591</x:v>
      </x:c>
      <x:c r="Q102" s="19" t="str">
        <x:v>Released</x:v>
      </x:c>
      <x:c r="R102" s="19" t="str">
        <x:v>July monthly blog dates Frontier release to July; August changelog lists wider feature release.</x:v>
      </x:c>
      <x:c r="S102" s="19" t="str"/>
      <x:c r="T102" s="19" t="str"/>
      <x:c r="U102" s="20" t="d">
        <x:v>2026-09-25T00:00:00.000Z</x:v>
      </x:c>
    </x:row>
    <x:row r="103" ht="64" customHeight="1">
      <x:c r="A103" s="21" t="d">
        <x:v>2026-09-25T00:00:00.000Z</x:v>
      </x:c>
      <x:c r="B103" s="19" t="str">
        <x:v>Source report date. GA. Availability precision: Month only</x:v>
      </x:c>
      <x:c r="C103" s="19" t="str">
        <x:v>Copilot Cowork</x:v>
      </x:c>
      <x:c r="D103" s="19" t="str">
        <x:v>Local Edge automation GA</x:v>
      </x:c>
      <x:c r="E103" s="19" t="str">
        <x:v>Use the signed-in local browser for web tasks.</x:v>
      </x:c>
      <x:c r="F103" s="23" t="str">
        <x:v>High</x:v>
      </x:c>
      <x:c r="G103" s="19" t="str">
        <x:v>Work through a web-only business system when no connector exposes the needed operation.</x:v>
      </x:c>
      <x:c r="H103" s="19" t="str">
        <x:v>Enables browser-dependent business steps within delegated work, with authenticated-access safeguards still essential.</x:v>
      </x:c>
      <x:c r="I103" s="19" t="str">
        <x:v>GA</x:v>
      </x:c>
      <x:c r="J103" s="19" t="str">
        <x:v>Microsoft 365 Copilot plus usage-based billing
Microsoft Edge installed; organizational policies apply</x:v>
      </x:c>
      <x:c r="K103" s="19" t="str">
        <x:v>2026-08</x:v>
      </x:c>
      <x:c r="L103" s="25" t="str">
        <x:f>IFERROR(HYPERLINK("https://learn.microsoft.com/en-us/microsoft-365/copilot/cowork/whats-new","What’s new in Copilot Cowork"),"What’s new in Copilot Cowork")</x:f>
        <x:v>What’s new in Copilot Cowork</x:v>
      </x:c>
      <x:c r="M103" s="25" t="str"/>
      <x:c r="N103" s="20" t="d">
        <x:v>2026-09-25T00:00:00.000Z</x:v>
      </x:c>
      <x:c r="O103" s="20" t="d">
        <x:v>2026-10-16T00:00:00.000Z</x:v>
      </x:c>
      <x:c r="P103" s="24" t="str">
        <x:v>COP-1974CC4BFF</x:v>
      </x:c>
      <x:c r="Q103" s="19" t="str">
        <x:v>GA</x:v>
      </x:c>
      <x:c r="R103" s="19" t="str">
        <x:v>Monthly July blog says rollout; Cowork changelog specifically dates GA to August.</x:v>
      </x:c>
      <x:c r="S103" s="19" t="str"/>
      <x:c r="T103" s="19" t="str"/>
      <x:c r="U103" s="20" t="d">
        <x:v>2026-09-25T00:00:00.000Z</x:v>
      </x:c>
    </x:row>
    <x:row r="104" ht="64" customHeight="1">
      <x:c r="A104" s="21" t="d">
        <x:v>2026-09-25T00:00:00.000Z</x:v>
      </x:c>
      <x:c r="B104" s="19" t="str">
        <x:v>Source report date. Released. Availability precision: Month only</x:v>
      </x:c>
      <x:c r="C104" s="19" t="str">
        <x:v>Copilot Cowork mobile</x:v>
      </x:c>
      <x:c r="D104" s="19" t="str">
        <x:v>Mobile plugin configuration</x:v>
      </x:c>
      <x:c r="E104" s="19" t="str">
        <x:v>Discover and configure plugins on mobile.</x:v>
      </x:c>
      <x:c r="F104" s="23" t="str">
        <x:v>Medium</x:v>
      </x:c>
      <x:c r="G104" s="19" t="str">
        <x:v>Access a configured business workflow while away from a desktop.</x:v>
      </x:c>
      <x:c r="H104" s="19" t="str">
        <x:v>Lets mobile users manage task integrations without returning to a desktop.</x:v>
      </x:c>
      <x:c r="I104" s="19" t="str">
        <x:v>Released</x:v>
      </x:c>
      <x:c r="J104" s="19" t="str">
        <x:v>Microsoft 365 Copilot plus usage-based billing
Copilot mobile app</x:v>
      </x:c>
      <x:c r="K104" s="19" t="str">
        <x:v>2026-09</x:v>
      </x:c>
      <x:c r="L104" s="25" t="str">
        <x:f>IFERROR(HYPERLINK("https://learn.microsoft.com/en-us/microsoft-365/copilot/cowork/whats-new","What’s new in Copilot Cowork"),"What’s new in Copilot Cowork")</x:f>
        <x:v>What’s new in Copilot Cowork</x:v>
      </x:c>
      <x:c r="M104" s="25" t="str"/>
      <x:c r="N104" s="20" t="d">
        <x:v>2026-09-25T00:00:00.000Z</x:v>
      </x:c>
      <x:c r="O104" s="20" t="d">
        <x:v>2026-10-16T00:00:00.000Z</x:v>
      </x:c>
      <x:c r="P104" s="24" t="str">
        <x:v>COP-6F0845FBAC</x:v>
      </x:c>
      <x:c r="Q104" s="19" t="str">
        <x:v>Released</x:v>
      </x:c>
      <x:c r="R104" s="19"/>
      <x:c r="S104" s="19"/>
      <x:c r="T104" s="19"/>
      <x:c r="U104" s="20" t="d">
        <x:v>2026-09-25T00:00:00.000Z</x:v>
      </x:c>
    </x:row>
    <x:row r="105" ht="64" customHeight="1">
      <x:c r="A105" s="21" t="d">
        <x:v>2026-09-25T00:00:00.000Z</x:v>
      </x:c>
      <x:c r="B105" s="19" t="str">
        <x:v>Source report date. Released. Availability precision: Month only</x:v>
      </x:c>
      <x:c r="C105" s="19" t="str">
        <x:v>Copilot Cowork plugins</x:v>
      </x:c>
      <x:c r="D105" s="19" t="str">
        <x:v>File inputs to tools</x:v>
      </x:c>
      <x:c r="E105" s="19" t="str">
        <x:v>Pass workspace files into plugin tools.</x:v>
      </x:c>
      <x:c r="F105" s="23" t="str">
        <x:v>Medium</x:v>
      </x:c>
      <x:c r="G105" s="19" t="str">
        <x:v>Let a connected service process the actual working document instead of pasting extracted text.</x:v>
      </x:c>
      <x:c r="H105" s="19" t="str">
        <x:v>Lets integrations act on actual task files instead of requiring extra upload or copy steps.</x:v>
      </x:c>
      <x:c r="I105" s="19" t="str">
        <x:v>Released</x:v>
      </x:c>
      <x:c r="J105" s="19" t="str">
        <x:v>Microsoft 365 Copilot plus usage-based billing
Plugin author must support the file input contract</x:v>
      </x:c>
      <x:c r="K105" s="19" t="str">
        <x:v>2026-08</x:v>
      </x:c>
      <x:c r="L105" s="25" t="str">
        <x:f>IFERROR(HYPERLINK("https://learn.microsoft.com/en-us/microsoft-365/copilot/cowork/whats-new","What’s new in Copilot Cowork"),"What’s new in Copilot Cowork")</x:f>
        <x:v>What’s new in Copilot Cowork</x:v>
      </x:c>
      <x:c r="M105" s="25" t="str"/>
      <x:c r="N105" s="20" t="d">
        <x:v>2026-09-25T00:00:00.000Z</x:v>
      </x:c>
      <x:c r="O105" s="20" t="d">
        <x:v>2026-10-16T00:00:00.000Z</x:v>
      </x:c>
      <x:c r="P105" s="24" t="str">
        <x:v>COP-83EA9686EA</x:v>
      </x:c>
      <x:c r="Q105" s="19" t="str">
        <x:v>Released</x:v>
      </x:c>
      <x:c r="R105" s="19"/>
      <x:c r="S105" s="19" t="str"/>
      <x:c r="T105" s="19" t="str"/>
      <x:c r="U105" s="20" t="d">
        <x:v>2026-09-25T00:00:00.000Z</x:v>
      </x:c>
    </x:row>
    <x:row r="106" ht="70" customHeight="1">
      <x:c r="A106" s="21" t="d">
        <x:v>2026-09-25T00:00:00.000Z</x:v>
      </x:c>
      <x:c r="B106" s="19" t="str">
        <x:v>Source report date. Announced Frontier rollout. Availability precision: Window / relative timing</x:v>
      </x:c>
      <x:c r="C106" s="19" t="str">
        <x:v>Copilot Home</x:v>
      </x:c>
      <x:c r="D106" s="19" t="str">
        <x:v>Unified starting point</x:v>
      </x:c>
      <x:c r="E106" s="19" t="str">
        <x:v>Chat and Cowork share a Home experience.</x:v>
      </x:c>
      <x:c r="F106" s="23" t="str">
        <x:v>Medium</x:v>
      </x:c>
      <x:c r="G106" s="19" t="str">
        <x:v>Choose between a quick answer and a delegated deliverable from the same work hub.</x:v>
      </x:c>
      <x:c r="H106" s="19" t="str">
        <x:v>Reduces navigation across separate experiences but its value depends on the rest of the rollout.</x:v>
      </x:c>
      <x:c r="I106" s="19" t="str">
        <x:v>Announced Frontier rollout</x:v>
      </x:c>
      <x:c r="J106" s="19" t="str">
        <x:v>Microsoft 365 Copilot; confirm tenant entitlement
Verify tenant; announcement does not prove completed rollout</x:v>
      </x:c>
      <x:c r="K106" s="19" t="str">
        <x:v>Weeks after September 25</x:v>
      </x:c>
      <x:c r="L106" s="25" t="str">
        <x:f>IFERROR(HYPERLINK("https://blogs.microsoft.com/blog/2026/09/25/introducing-the-new-copilot-with-home-code-and-autopilot/","Introducing the new Copilot with Home, Code and Autopilot"),"Introducing the new Copilot with Home, Code and Autopilot")</x:f>
        <x:v>Introducing the new Copilot with Home, Code and Autopilot</x:v>
      </x:c>
      <x:c r="M106" s="25" t="str"/>
      <x:c r="N106" s="20" t="d">
        <x:v>2026-09-25T00:00:00.000Z</x:v>
      </x:c>
      <x:c r="O106" s="20" t="d">
        <x:v>2026-10-16T00:00:00.000Z</x:v>
      </x:c>
      <x:c r="P106" s="24" t="str">
        <x:v>COP-B42362CB6A</x:v>
      </x:c>
      <x:c r="Q106" s="19" t="str">
        <x:v>Announced Frontier rollout</x:v>
      </x:c>
      <x:c r="R106" s="19"/>
      <x:c r="S106" s="19" t="str"/>
      <x:c r="T106" s="19" t="str"/>
      <x:c r="U106" s="20" t="d">
        <x:v>2026-09-25T00:00:00.000Z</x:v>
      </x:c>
    </x:row>
    <x:row r="107" ht="70" customHeight="1">
      <x:c r="A107" s="21" t="d">
        <x:v>2026-09-25T00:00:00.000Z</x:v>
      </x:c>
      <x:c r="B107" s="19" t="str">
        <x:v>Stated effective date. Published policy. Availability precision: Exact day</x:v>
      </x:c>
      <x:c r="C107" s="19" t="str">
        <x:v>Copilot pricing</x:v>
      </x:c>
      <x:c r="D107" s="19" t="str">
        <x:v>Everyday versus advanced usage</x:v>
      </x:c>
      <x:c r="E107" s="19" t="str">
        <x:v>Subscription covers everyday AI; advanced work uses credits.</x:v>
      </x:c>
      <x:c r="F107" s="23" t="str">
        <x:v>Medium</x:v>
      </x:c>
      <x:c r="G107" s="19" t="str">
        <x:v>Separate fixed-seat cost from delegated-work spend in project budgets.</x:v>
      </x:c>
      <x:c r="H107" s="19" t="str">
        <x:v>Changes procurement and budget planning because advanced work can incur metered costs beyond a seat subscription. The productivity benefit is indirect and mainly affects administrators or purchasing decisions.</x:v>
      </x:c>
      <x:c r="I107" s="19" t="str">
        <x:v>Published policy</x:v>
      </x:c>
      <x:c r="J107" s="19" t="str">
        <x:v>USL prerequisite for advanced UBB; Copilot Credits
Commercial services; individual limits vary</x:v>
      </x:c>
      <x:c r="K107" s="19" t="str">
        <x:v>2026-09-25</x:v>
      </x:c>
      <x:c r="L107" s="25" t="str">
        <x:f>IFERROR(HYPERLINK("https://techcommunity.microsoft.com/blog/microsoft-copilot-blog/evolution-of-the-copilot-pricing-model/4559416","Evolution of the Copilot pricing model"),"Evolution of the Copilot pricing model")</x:f>
        <x:v>Evolution of the Copilot pricing model</x:v>
      </x:c>
      <x:c r="M107" s="25" t="str"/>
      <x:c r="N107" s="20" t="d">
        <x:v>2026-09-25T00:00:00.000Z</x:v>
      </x:c>
      <x:c r="O107" s="20" t="d">
        <x:v>2026-10-16T00:00:00.000Z</x:v>
      </x:c>
      <x:c r="P107" s="24" t="str">
        <x:v>COP-5FACD1A57D</x:v>
      </x:c>
      <x:c r="Q107" s="19" t="str">
        <x:v>Published policy</x:v>
      </x:c>
      <x:c r="R107" s="19" t="str">
        <x:v>This is pricing model clarification, not a claim all pricing changed on this date. Planned default-on exception for NEW Copilot Business CSP purchases Dec 1 is separately documented; not a change to all existing tenants.</x:v>
      </x:c>
      <x:c r="S107" s="19" t="str"/>
      <x:c r="T107" s="19"/>
      <x:c r="U107" s="20" t="d">
        <x:v>2026-09-25T00:00:00.000Z</x:v>
      </x:c>
    </x:row>
    <x:row r="108" ht="70" customHeight="1">
      <x:c r="A108" s="21" t="d">
        <x:v>2026-09-23T00:00:00.000Z</x:v>
      </x:c>
      <x:c r="B108" s="19" t="str">
        <x:v>Source report date. General-release milestone. Availability precision: Window</x:v>
      </x:c>
      <x:c r="C108" s="19" t="str">
        <x:v>Copilot administration</x:v>
      </x:c>
      <x:c r="D108" s="19" t="str">
        <x:v>License queue</x:v>
      </x:c>
      <x:c r="E108" s="19" t="str">
        <x:v>A dedicated Microsoft 365 administration page collects user requests for Copilot licenses for review and management.</x:v>
      </x:c>
      <x:c r="F108" s="23" t="str">
        <x:v>Low</x:v>
      </x:c>
      <x:c r="G108" s="19" t="str">
        <x:v>An administrator can triage staff requests in one place during a staged Copilot deployment.</x:v>
      </x:c>
      <x:c r="H108" s="19" t="str">
        <x:v>Improves an administrative screen rather than adding end-user capability.</x:v>
      </x:c>
      <x:c r="I108" s="19" t="str">
        <x:v>Generally available / staged rollout</x:v>
      </x:c>
      <x:c r="J108" s="19" t="str">
        <x:v>Unconfirmed; entry does not specify entitlement
Web; regions unconfirmed</x:v>
      </x:c>
      <x:c r="K108" s="19" t="str">
        <x:v>2026-08-26 to 2026-09-22</x:v>
      </x:c>
      <x:c r="L108" s="25" t="str">
        <x:f>IFERROR(HYPERLINK("https://learn.microsoft.com/en-us/microsoft-365/copilot/release-notes#september-23-2026","Microsoft 365 Copilot release notes"),"Microsoft 365 Copilot release notes")</x:f>
        <x:v>Microsoft 365 Copilot release notes</x:v>
      </x:c>
      <x:c r="M108" s="25" t="str"/>
      <x:c r="N108" s="20" t="d">
        <x:v>2026-09-23T00:00:00.000Z</x:v>
      </x:c>
      <x:c r="O108" s="20" t="d">
        <x:v>2026-10-16T00:00:00.000Z</x:v>
      </x:c>
      <x:c r="P108" s="24" t="str">
        <x:v>COP-8EB55EFFD3</x:v>
      </x:c>
      <x:c r="Q108" s="19" t="str">
        <x:v>General-release milestone</x:v>
      </x:c>
      <x:c r="R108" s="19" t="str">
        <x:v>Release-note batch gives a general-release window, not an exact first-launch date. Tenant rollout can be staged.</x:v>
      </x:c>
      <x:c r="S108" s="19" t="str"/>
      <x:c r="T108" s="19" t="str">
        <x:v>561206</x:v>
      </x:c>
      <x:c r="U108" s="20" t="d">
        <x:v>2026-09-23T00:00:00.000Z</x:v>
      </x:c>
    </x:row>
    <x:row r="109" ht="70" customHeight="1">
      <x:c r="A109" s="21" t="d">
        <x:v>2026-09-23T00:00:00.000Z</x:v>
      </x:c>
      <x:c r="B109" s="19" t="str">
        <x:v>Source report date. General-release milestone. Availability precision: Window</x:v>
      </x:c>
      <x:c r="C109" s="19" t="str">
        <x:v>Copilot administration</x:v>
      </x:c>
      <x:c r="D109" s="19" t="str">
        <x:v>Policy redirect</x:v>
      </x:c>
      <x:c r="E109" s="19" t="str">
        <x:v>Administrators can supply an internal policy or guidance link to users whose access to Copilot Chat in the app is blocked.</x:v>
      </x:c>
      <x:c r="F109" s="23" t="str">
        <x:v>Low</x:v>
      </x:c>
      <x:c r="G109" s="19" t="str">
        <x:v>Route blocked users to the organization’s actual AI-use policy instead of leaving them with an unexplained denial.</x:v>
      </x:c>
      <x:c r="H109" s="19" t="str">
        <x:v>Reduces confusion around an existing access restriction.</x:v>
      </x:c>
      <x:c r="I109" s="19" t="str">
        <x:v>Generally available / staged rollout</x:v>
      </x:c>
      <x:c r="J109" s="19" t="str">
        <x:v>Unconfirmed; entry does not specify entitlement
Windows, Mac, Web; regions unconfirmed</x:v>
      </x:c>
      <x:c r="K109" s="19" t="str">
        <x:v>2026-08-26 to 2026-09-22</x:v>
      </x:c>
      <x:c r="L109" s="25" t="str">
        <x:f>IFERROR(HYPERLINK("https://learn.microsoft.com/en-us/microsoft-365/copilot/release-notes#september-23-2026","Microsoft 365 Copilot release notes"),"Microsoft 365 Copilot release notes")</x:f>
        <x:v>Microsoft 365 Copilot release notes</x:v>
      </x:c>
      <x:c r="M109" s="25" t="str"/>
      <x:c r="N109" s="20" t="d">
        <x:v>2026-09-23T00:00:00.000Z</x:v>
      </x:c>
      <x:c r="O109" s="20" t="d">
        <x:v>2026-10-16T00:00:00.000Z</x:v>
      </x:c>
      <x:c r="P109" s="24" t="str">
        <x:v>COP-CF43D5C246</x:v>
      </x:c>
      <x:c r="Q109" s="19" t="str">
        <x:v>General-release milestone</x:v>
      </x:c>
      <x:c r="R109" s="19" t="str">
        <x:v>Release-note batch gives a general-release window, not an exact first-launch date. Tenant rollout can be staged.</x:v>
      </x:c>
      <x:c r="S109" s="19" t="str"/>
      <x:c r="T109" s="19"/>
      <x:c r="U109" s="20" t="d">
        <x:v>2026-09-23T00:00:00.000Z</x:v>
      </x:c>
    </x:row>
    <x:row r="110" ht="70" customHeight="1">
      <x:c r="A110" s="21" t="d">
        <x:v>2026-09-23T00:00:00.000Z</x:v>
      </x:c>
      <x:c r="B110" s="19" t="str">
        <x:v>Source report date. General-release milestone. Availability precision: Window</x:v>
      </x:c>
      <x:c r="C110" s="19" t="str">
        <x:v>Copilot Chat</x:v>
      </x:c>
      <x:c r="D110" s="19" t="str">
        <x:v>Meeting retrieval</x:v>
      </x:c>
      <x:c r="E110" s="19" t="str">
        <x:v>Copilot finds meetings using topics or keywords in meeting content; transcript search is limited to the preceding two months.</x:v>
      </x:c>
      <x:c r="F110" s="23" t="str">
        <x:v>Medium</x:v>
      </x:c>
      <x:c r="G110" s="19" t="str">
        <x:v>Find a recent discussion by subject when you cannot remember its meeting title.</x:v>
      </x:c>
      <x:c r="H110" s="19" t="str">
        <x:v>Retrieval by discussed content helps recover otherwise hard-to-find decisions.</x:v>
      </x:c>
      <x:c r="I110" s="19" t="str">
        <x:v>Generally available / staged rollout</x:v>
      </x:c>
      <x:c r="J110" s="19" t="str">
        <x:v>Unconfirmed; entry does not specify entitlement
Android, Windows, iOS, Mac; regions unconfirmed</x:v>
      </x:c>
      <x:c r="K110" s="19" t="str">
        <x:v>2026-08-26 to 2026-09-22</x:v>
      </x:c>
      <x:c r="L110" s="25" t="str">
        <x:f>IFERROR(HYPERLINK("https://learn.microsoft.com/en-us/microsoft-365/copilot/release-notes#september-23-2026","Microsoft 365 Copilot release notes"),"Microsoft 365 Copilot release notes")</x:f>
        <x:v>Microsoft 365 Copilot release notes</x:v>
      </x:c>
      <x:c r="M110" s="25" t="str"/>
      <x:c r="N110" s="20" t="d">
        <x:v>2026-09-23T00:00:00.000Z</x:v>
      </x:c>
      <x:c r="O110" s="20" t="d">
        <x:v>2026-10-16T00:00:00.000Z</x:v>
      </x:c>
      <x:c r="P110" s="24" t="str">
        <x:v>COP-AA96B18650</x:v>
      </x:c>
      <x:c r="Q110" s="19" t="str">
        <x:v>General-release milestone</x:v>
      </x:c>
      <x:c r="R110" s="19" t="str">
        <x:v>Release-note batch gives a general-release window, not an exact first-launch date. Tenant rollout can be staged. Transcript-based discovery covers meetings from the preceding two months.</x:v>
      </x:c>
      <x:c r="S110" s="19" t="str"/>
      <x:c r="T110" s="19" t="str">
        <x:v>559110</x:v>
      </x:c>
      <x:c r="U110" s="20" t="d">
        <x:v>2026-09-23T00:00:00.000Z</x:v>
      </x:c>
    </x:row>
    <x:row r="111" ht="70" customHeight="1">
      <x:c r="A111" s="21" t="d">
        <x:v>2026-09-23T00:00:00.000Z</x:v>
      </x:c>
      <x:c r="B111" s="19" t="str">
        <x:v>Source report date. General-release milestone. Availability precision: Window</x:v>
      </x:c>
      <x:c r="C111" s="19" t="str">
        <x:v>Copilot Chat / Places</x:v>
      </x:c>
      <x:c r="D111" s="19" t="str">
        <x:v>Workspace cards</x:v>
      </x:c>
      <x:c r="E111" s="19" t="str">
        <x:v>Places directory entries for buildings, rooms and desks gain profile cards accessible from Copilot Chat and other Microsoft 365 surfaces.</x:v>
      </x:c>
      <x:c r="F111" s="23" t="str">
        <x:v>Low</x:v>
      </x:c>
      <x:c r="G111" s="19" t="str">
        <x:v>Check a workplace location while coordinating an in-person project session.</x:v>
      </x:c>
      <x:c r="H111" s="19" t="str">
        <x:v>Adds reference information for organizations that maintain Places data.</x:v>
      </x:c>
      <x:c r="I111" s="19" t="str">
        <x:v>Generally available / staged rollout</x:v>
      </x:c>
      <x:c r="J111" s="19" t="str">
        <x:v>Unconfirmed; entry does not specify entitlement
Windows; requires Places directory data; regions unconfirmed</x:v>
      </x:c>
      <x:c r="K111" s="19" t="str">
        <x:v>2026-08-26 to 2026-09-22</x:v>
      </x:c>
      <x:c r="L111" s="25" t="str">
        <x:f>IFERROR(HYPERLINK("https://learn.microsoft.com/en-us/microsoft-365/copilot/release-notes#september-23-2026","Microsoft 365 Copilot release notes"),"Microsoft 365 Copilot release notes")</x:f>
        <x:v>Microsoft 365 Copilot release notes</x:v>
      </x:c>
      <x:c r="M111" s="25" t="str"/>
      <x:c r="N111" s="20" t="d">
        <x:v>2026-09-23T00:00:00.000Z</x:v>
      </x:c>
      <x:c r="O111" s="20" t="d">
        <x:v>2026-10-16T00:00:00.000Z</x:v>
      </x:c>
      <x:c r="P111" s="24" t="str">
        <x:v>COP-C44AEF5D24</x:v>
      </x:c>
      <x:c r="Q111" s="19" t="str">
        <x:v>General-release milestone</x:v>
      </x:c>
      <x:c r="R111" s="19" t="str">
        <x:v>Release-note batch gives a general-release window, not an exact first-launch date. Tenant rollout can be staged.</x:v>
      </x:c>
      <x:c r="S111" s="19" t="str"/>
      <x:c r="T111" s="19" t="str">
        <x:v>553219</x:v>
      </x:c>
      <x:c r="U111" s="20" t="d">
        <x:v>2026-09-23T00:00:00.000Z</x:v>
      </x:c>
    </x:row>
    <x:row r="112" ht="85" customHeight="1">
      <x:c r="A112" s="21" t="d">
        <x:v>2026-09-23T00:00:00.000Z</x:v>
      </x:c>
      <x:c r="B112" s="19" t="str">
        <x:v>Source report date. General-release milestone. Availability precision: Window</x:v>
      </x:c>
      <x:c r="C112" s="19" t="str">
        <x:v>Copilot connectors</x:v>
      </x:c>
      <x:c r="D112" s="19" t="str">
        <x:v>Admin diagnostics</x:v>
      </x:c>
      <x:c r="E112" s="19" t="str">
        <x:v>Connector administration gains setup guidance, editable settings, more actionable error information and alerting support.</x:v>
      </x:c>
      <x:c r="F112" s="23" t="str">
        <x:v>Medium</x:v>
      </x:c>
      <x:c r="G112" s="19" t="str">
        <x:v>Diagnose a failed connector setup or deteriorating connection before users report missing information.</x:v>
      </x:c>
      <x:c r="H112" s="19" t="str">
        <x:v>Improves operational maintenance of connected knowledge.</x:v>
      </x:c>
      <x:c r="I112" s="19" t="str">
        <x:v>Generally available / staged rollout</x:v>
      </x:c>
      <x:c r="J112" s="19" t="str">
        <x:v>Unconfirmed; entry does not specify entitlement
Web; regions unconfirmed</x:v>
      </x:c>
      <x:c r="K112" s="19" t="str">
        <x:v>2026-08-26 to 2026-09-22</x:v>
      </x:c>
      <x:c r="L112" s="25" t="str">
        <x:f>IFERROR(HYPERLINK("https://learn.microsoft.com/en-us/microsoft-365/copilot/release-notes#september-23-2026","Microsoft 365 Copilot release notes"),"Microsoft 365 Copilot release notes")</x:f>
        <x:v>Microsoft 365 Copilot release notes</x:v>
      </x:c>
      <x:c r="M112" s="25" t="str"/>
      <x:c r="N112" s="20" t="d">
        <x:v>2026-09-23T00:00:00.000Z</x:v>
      </x:c>
      <x:c r="O112" s="20" t="d">
        <x:v>2026-10-16T00:00:00.000Z</x:v>
      </x:c>
      <x:c r="P112" s="24" t="str">
        <x:v>COP-20459550D0</x:v>
      </x:c>
      <x:c r="Q112" s="19" t="str">
        <x:v>General-release milestone</x:v>
      </x:c>
      <x:c r="R112" s="19" t="str">
        <x:v>Release-note batch gives a general-release window, not an exact first-launch date. Tenant rollout can be staged. The source groups setup guidance, editability, diagnostic errors and alerts; retain as an administration bundle rather than invent individual rollout dates.</x:v>
      </x:c>
      <x:c r="S112" s="19" t="str"/>
      <x:c r="T112" s="19" t="str">
        <x:v>502529</x:v>
      </x:c>
      <x:c r="U112" s="20" t="d">
        <x:v>2026-09-23T00:00:00.000Z</x:v>
      </x:c>
    </x:row>
    <x:row r="113" ht="70" customHeight="1">
      <x:c r="A113" s="21" t="d">
        <x:v>2026-09-23T00:00:00.000Z</x:v>
      </x:c>
      <x:c r="B113" s="19" t="str">
        <x:v>Source report date. General-release milestone. Availability precision: Window</x:v>
      </x:c>
      <x:c r="C113" s="19" t="str">
        <x:v>Copilot Notebooks</x:v>
      </x:c>
      <x:c r="D113" s="19" t="str">
        <x:v>Reference shortcut</x:v>
      </x:c>
      <x:c r="E113" s="19" t="str">
        <x:v>The Search Quick Access area provides a shortcut for adding references to a Copilot Notebook.</x:v>
      </x:c>
      <x:c r="F113" s="23" t="str">
        <x:v>Low</x:v>
      </x:c>
      <x:c r="G113" s="19" t="str">
        <x:v>Collect a useful search result into a project notebook while researching instead of locating it again later.</x:v>
      </x:c>
      <x:c r="H113" s="19" t="str">
        <x:v>Saves navigation during source collection.</x:v>
      </x:c>
      <x:c r="I113" s="19" t="str">
        <x:v>Generally available / staged rollout</x:v>
      </x:c>
      <x:c r="J113" s="19" t="str">
        <x:v>Unconfirmed; entry does not specify entitlement
Web; regions unconfirmed</x:v>
      </x:c>
      <x:c r="K113" s="19" t="str">
        <x:v>2026-08-26 to 2026-09-22</x:v>
      </x:c>
      <x:c r="L113" s="25" t="str">
        <x:f>IFERROR(HYPERLINK("https://learn.microsoft.com/en-us/microsoft-365/copilot/release-notes#september-23-2026","Microsoft 365 Copilot release notes"),"Microsoft 365 Copilot release notes")</x:f>
        <x:v>Microsoft 365 Copilot release notes</x:v>
      </x:c>
      <x:c r="M113" s="25" t="str"/>
      <x:c r="N113" s="20" t="d">
        <x:v>2026-09-23T00:00:00.000Z</x:v>
      </x:c>
      <x:c r="O113" s="20" t="d">
        <x:v>2026-10-16T00:00:00.000Z</x:v>
      </x:c>
      <x:c r="P113" s="24" t="str">
        <x:v>COP-4AB99A3312</x:v>
      </x:c>
      <x:c r="Q113" s="19" t="str">
        <x:v>General-release milestone</x:v>
      </x:c>
      <x:c r="R113" s="19" t="str">
        <x:v>Release-note batch gives a general-release window, not an exact first-launch date. Tenant rollout can be staged.</x:v>
      </x:c>
      <x:c r="S113" s="19"/>
      <x:c r="T113" s="19" t="str">
        <x:v>510099</x:v>
      </x:c>
      <x:c r="U113" s="20" t="d">
        <x:v>2026-09-23T00:00:00.000Z</x:v>
      </x:c>
    </x:row>
    <x:row r="114" ht="85" customHeight="1">
      <x:c r="A114" s="21" t="d">
        <x:v>2026-09-23T00:00:00.000Z</x:v>
      </x:c>
      <x:c r="B114" s="19" t="str">
        <x:v>Source report date. General-release milestone. Availability precision: Window</x:v>
      </x:c>
      <x:c r="C114" s="19" t="str">
        <x:v>Copilot Notebooks</x:v>
      </x:c>
      <x:c r="D114" s="19" t="str">
        <x:v>Unified project notebook layout — general-release milestone</x:v>
      </x:c>
      <x:c r="E114" s="19" t="str">
        <x:v>The app’s notebook design groups project chats, references and produced content in a workspace whose context persists across sessions.</x:v>
      </x:c>
      <x:c r="F114" s="23" t="str">
        <x:v>High</x:v>
      </x:c>
      <x:c r="G114" s="19" t="str">
        <x:v>Keep project conversations, references, and produced work together so a later session can resume with context.</x:v>
      </x:c>
      <x:c r="H114" s="19" t="str">
        <x:v>Supports continuity across repeated project sessions.</x:v>
      </x:c>
      <x:c r="I114" s="19" t="str">
        <x:v>Generally available / staged rollout</x:v>
      </x:c>
      <x:c r="J114" s="19" t="str">
        <x:v>Unconfirmed; entry does not specify entitlement
Web; regions unconfirmed</x:v>
      </x:c>
      <x:c r="K114" s="19" t="str">
        <x:v>2026-08-26 to 2026-09-22</x:v>
      </x:c>
      <x:c r="L114" s="25" t="str">
        <x:f>IFERROR(HYPERLINK("https://learn.microsoft.com/en-us/microsoft-365/copilot/release-notes#september-23-2026","Microsoft 365 Copilot release notes"),"Microsoft 365 Copilot release notes")</x:f>
        <x:v>Microsoft 365 Copilot release notes</x:v>
      </x:c>
      <x:c r="M114" s="25" t="str"/>
      <x:c r="N114" s="20" t="d">
        <x:v>2026-09-23T00:00:00.000Z</x:v>
      </x:c>
      <x:c r="O114" s="20" t="d">
        <x:v>2026-10-16T00:00:00.000Z</x:v>
      </x:c>
      <x:c r="P114" s="24" t="str">
        <x:v>COP-58BBAFCF10</x:v>
      </x:c>
      <x:c r="Q114" s="19" t="str">
        <x:v>Availability milestone</x:v>
      </x:c>
      <x:c r="R114" s="19" t="str">
        <x:v>The release-note batch describes a window, not an exact first-launch date. Tenant rollout can be staged. May documentation described a planned notebook workspace. The September batch provides a general-release milestone. Earlier related record: Unified project notebook layout (2026-05-29).</x:v>
      </x:c>
      <x:c r="S114" s="19" t="str">
        <x:v>COP-528DDAAC15</x:v>
      </x:c>
      <x:c r="T114" s="19" t="str">
        <x:v>562662</x:v>
      </x:c>
      <x:c r="U114" s="20" t="d">
        <x:v>2026-09-23T00:00:00.000Z</x:v>
      </x:c>
    </x:row>
    <x:row r="115" ht="70" customHeight="1">
      <x:c r="A115" s="21" t="d">
        <x:v>2026-09-23T00:00:00.000Z</x:v>
      </x:c>
      <x:c r="B115" s="19" t="str">
        <x:v>Source report date. General-release milestone. Availability precision: Window</x:v>
      </x:c>
      <x:c r="C115" s="19" t="str">
        <x:v>Copilot Search</x:v>
      </x:c>
      <x:c r="D115" s="19" t="str">
        <x:v>Attachment shortcuts</x:v>
      </x:c>
      <x:c r="E115" s="19" t="str">
        <x:v>Email search results expose attachments as directly accessible file pills, without requiring the message to be opened first.</x:v>
      </x:c>
      <x:c r="F115" s="23" t="str">
        <x:v>Low</x:v>
      </x:c>
      <x:c r="G115" s="19" t="str">
        <x:v>Open the relevant attachment from a search result when collecting evidence for a bid response.</x:v>
      </x:c>
      <x:c r="H115" s="19" t="str">
        <x:v>Removes an intermediate email-opening step.</x:v>
      </x:c>
      <x:c r="I115" s="19" t="str">
        <x:v>Generally available / staged rollout</x:v>
      </x:c>
      <x:c r="J115" s="19" t="str">
        <x:v>Unconfirmed; entry does not specify entitlement
Windows, Web; regions unconfirmed</x:v>
      </x:c>
      <x:c r="K115" s="19" t="str">
        <x:v>2026-08-26 to 2026-09-22</x:v>
      </x:c>
      <x:c r="L115" s="25" t="str">
        <x:f>IFERROR(HYPERLINK("https://learn.microsoft.com/en-us/microsoft-365/copilot/release-notes#september-23-2026","Microsoft 365 Copilot release notes"),"Microsoft 365 Copilot release notes")</x:f>
        <x:v>Microsoft 365 Copilot release notes</x:v>
      </x:c>
      <x:c r="M115" s="25" t="str"/>
      <x:c r="N115" s="20" t="d">
        <x:v>2026-09-23T00:00:00.000Z</x:v>
      </x:c>
      <x:c r="O115" s="20" t="d">
        <x:v>2026-10-16T00:00:00.000Z</x:v>
      </x:c>
      <x:c r="P115" s="24" t="str">
        <x:v>COP-27C4D1D5A4</x:v>
      </x:c>
      <x:c r="Q115" s="19" t="str">
        <x:v>General-release milestone</x:v>
      </x:c>
      <x:c r="R115" s="19" t="str">
        <x:v>Release-note batch gives a general-release window, not an exact first-launch date. Tenant rollout can be staged.</x:v>
      </x:c>
      <x:c r="S115" s="19"/>
      <x:c r="T115" s="19"/>
      <x:c r="U115" s="20" t="d">
        <x:v>2026-09-23T00:00:00.000Z</x:v>
      </x:c>
    </x:row>
    <x:row r="116" ht="70" customHeight="1">
      <x:c r="A116" s="21" t="d">
        <x:v>2026-09-23T00:00:00.000Z</x:v>
      </x:c>
      <x:c r="B116" s="19" t="str">
        <x:v>Source report date. General-release milestone. Availability precision: Window</x:v>
      </x:c>
      <x:c r="C116" s="19" t="str">
        <x:v>Copilot Search</x:v>
      </x:c>
      <x:c r="D116" s="19" t="str">
        <x:v>Mail ordering</x:v>
      </x:c>
      <x:c r="E116" s="19" t="str">
        <x:v>Copilot Search can order Outlook email results by date in either direction.</x:v>
      </x:c>
      <x:c r="F116" s="23" t="str">
        <x:v>Low</x:v>
      </x:c>
      <x:c r="G116" s="19" t="str">
        <x:v>Check the newest exchange first when a decision has changed across several email threads.</x:v>
      </x:c>
      <x:c r="H116" s="19" t="str">
        <x:v>A small retrieval improvement with a clear but narrow use.</x:v>
      </x:c>
      <x:c r="I116" s="19" t="str">
        <x:v>Generally available / staged rollout</x:v>
      </x:c>
      <x:c r="J116" s="19" t="str">
        <x:v>Unconfirmed; entry does not specify entitlement
Windows, Web; regions unconfirmed</x:v>
      </x:c>
      <x:c r="K116" s="19" t="str">
        <x:v>2026-08-26 to 2026-09-22</x:v>
      </x:c>
      <x:c r="L116" s="25" t="str">
        <x:f>IFERROR(HYPERLINK("https://learn.microsoft.com/en-us/microsoft-365/copilot/release-notes#september-23-2026","Microsoft 365 Copilot release notes"),"Microsoft 365 Copilot release notes")</x:f>
        <x:v>Microsoft 365 Copilot release notes</x:v>
      </x:c>
      <x:c r="M116" s="25" t="str"/>
      <x:c r="N116" s="20" t="d">
        <x:v>2026-09-23T00:00:00.000Z</x:v>
      </x:c>
      <x:c r="O116" s="20" t="d">
        <x:v>2026-10-16T00:00:00.000Z</x:v>
      </x:c>
      <x:c r="P116" s="24" t="str">
        <x:v>COP-04A646015E</x:v>
      </x:c>
      <x:c r="Q116" s="19" t="str">
        <x:v>General-release milestone</x:v>
      </x:c>
      <x:c r="R116" s="19" t="str">
        <x:v>Release-note batch gives a general-release window, not an exact first-launch date. Tenant rollout can be staged.</x:v>
      </x:c>
      <x:c r="S116" s="19" t="str"/>
      <x:c r="T116" s="19"/>
      <x:c r="U116" s="20" t="d">
        <x:v>2026-09-23T00:00:00.000Z</x:v>
      </x:c>
    </x:row>
    <x:row r="117" ht="100" customHeight="1">
      <x:c r="A117" s="21" t="d">
        <x:v>2026-09-23T00:00:00.000Z</x:v>
      </x:c>
      <x:c r="B117" s="19" t="str">
        <x:v>Source report date. General-release milestone. Availability precision: Window</x:v>
      </x:c>
      <x:c r="C117" s="19" t="str">
        <x:v>Copilot Vision</x:v>
      </x:c>
      <x:c r="D117" s="19" t="str">
        <x:v>Vision with screen or camera context — general-release milestone</x:v>
      </x:c>
      <x:c r="E117" s="19" t="str">
        <x:v>Copilot can discuss shared desktop-screen content or a live mobile-camera view during supported voice interactions.</x:v>
      </x:c>
      <x:c r="F117" s="23" t="str">
        <x:v>High</x:v>
      </x:c>
      <x:c r="G117" s="19" t="str">
        <x:v>Discuss visible work material during a voice session, subject to appropriate controls on what is shared.</x:v>
      </x:c>
      <x:c r="H117" s="19" t="str">
        <x:v>Makes visual material usable during an interactive work conversation.</x:v>
      </x:c>
      <x:c r="I117" s="19" t="str">
        <x:v>Generally available / staged rollout</x:v>
      </x:c>
      <x:c r="J117" s="19" t="str">
        <x:v>Unconfirmed; entry does not specify entitlement
Android, Windows, iOS, Web; regions unconfirmed</x:v>
      </x:c>
      <x:c r="K117" s="19" t="str">
        <x:v>2026-08-26 to 2026-09-22</x:v>
      </x:c>
      <x:c r="L117" s="25" t="str">
        <x:f>IFERROR(HYPERLINK("https://learn.microsoft.com/en-us/microsoft-365/copilot/release-notes#september-23-2026","Microsoft 365 Copilot release notes"),"Microsoft 365 Copilot release notes")</x:f>
        <x:v>Microsoft 365 Copilot release notes</x:v>
      </x:c>
      <x:c r="M117" s="25" t="str"/>
      <x:c r="N117" s="20" t="d">
        <x:v>2026-09-23T00:00:00.000Z</x:v>
      </x:c>
      <x:c r="O117" s="20" t="d">
        <x:v>2026-10-16T00:00:00.000Z</x:v>
      </x:c>
      <x:c r="P117" s="24" t="str">
        <x:v>COP-EA6630ACE8</x:v>
      </x:c>
      <x:c r="Q117" s="19" t="str">
        <x:v>Availability milestone</x:v>
      </x:c>
      <x:c r="R117" s="19" t="str">
        <x:v>The release-note batch describes a window, not an exact first-launch date. Tenant rollout can be staged. June documentation described a planned rollout. The September batch provides general-release evidence for that capability. Earlier related record: Vision with screen or camera context (2026-06-30).</x:v>
      </x:c>
      <x:c r="S117" s="19" t="str">
        <x:v>COP-C9545BC848</x:v>
      </x:c>
      <x:c r="T117" s="19" t="str">
        <x:v>561037</x:v>
      </x:c>
      <x:c r="U117" s="20" t="d">
        <x:v>2026-09-23T00:00:00.000Z</x:v>
      </x:c>
    </x:row>
    <x:row r="118" ht="70" customHeight="1">
      <x:c r="A118" s="21" t="d">
        <x:v>2026-09-23T00:00:00.000Z</x:v>
      </x:c>
      <x:c r="B118" s="19" t="str">
        <x:v>Source report date. General-release milestone. Availability precision: Window</x:v>
      </x:c>
      <x:c r="C118" s="19" t="str">
        <x:v>Excel</x:v>
      </x:c>
      <x:c r="D118" s="19" t="str">
        <x:v>AI attribution</x:v>
      </x:c>
      <x:c r="E118" s="19" t="str">
        <x:v>Excel’s Show Changes pane identifies Copilot edits or suggestions on attribution cards alongside manually made changes.</x:v>
      </x:c>
      <x:c r="F118" s="23" t="str">
        <x:v>Medium</x:v>
      </x:c>
      <x:c r="G118" s="19" t="str">
        <x:v>During workbook review, distinguish Copilot-assisted activity from other edits before investigating a discrepancy.</x:v>
      </x:c>
      <x:c r="H118" s="19" t="str">
        <x:v>Adds review context without independently validating calculations.</x:v>
      </x:c>
      <x:c r="I118" s="19" t="str">
        <x:v>Generally available / staged rollout</x:v>
      </x:c>
      <x:c r="J118" s="19" t="str">
        <x:v>Unconfirmed; entry does not specify entitlement
Windows, Mac, Web; regions unconfirmed</x:v>
      </x:c>
      <x:c r="K118" s="19" t="str">
        <x:v>2026-08-26 to 2026-09-22</x:v>
      </x:c>
      <x:c r="L118" s="25" t="str">
        <x:f>IFERROR(HYPERLINK("https://learn.microsoft.com/en-us/microsoft-365/copilot/release-notes#september-23-2026","Microsoft 365 Copilot release notes"),"Microsoft 365 Copilot release notes")</x:f>
        <x:v>Microsoft 365 Copilot release notes</x:v>
      </x:c>
      <x:c r="M118" s="25" t="str"/>
      <x:c r="N118" s="20" t="d">
        <x:v>2026-09-23T00:00:00.000Z</x:v>
      </x:c>
      <x:c r="O118" s="20" t="d">
        <x:v>2026-10-16T00:00:00.000Z</x:v>
      </x:c>
      <x:c r="P118" s="24" t="str">
        <x:v>COP-D756DD0AD0</x:v>
      </x:c>
      <x:c r="Q118" s="19" t="str">
        <x:v>General-release milestone</x:v>
      </x:c>
      <x:c r="R118" s="19" t="str">
        <x:v>Release-note batch gives a general-release window, not an exact first-launch date. Tenant rollout can be staged.</x:v>
      </x:c>
      <x:c r="S118" s="19" t="str"/>
      <x:c r="T118" s="19" t="str"/>
      <x:c r="U118" s="20" t="d">
        <x:v>2026-09-23T00:00:00.000Z</x:v>
      </x:c>
    </x:row>
    <x:row r="119" ht="70" customHeight="1">
      <x:c r="A119" s="21" t="d">
        <x:v>2026-09-23T00:00:00.000Z</x:v>
      </x:c>
      <x:c r="B119" s="19" t="str">
        <x:v>Source report date. General-release milestone. Availability precision: Window</x:v>
      </x:c>
      <x:c r="C119" s="19" t="str">
        <x:v>Excel</x:v>
      </x:c>
      <x:c r="D119" s="19" t="str">
        <x:v>Edit navigation</x:v>
      </x:c>
      <x:c r="E119" s="19" t="str">
        <x:v>Excel response links take users directly to sheets, ranges, tables and other objects changed by Copilot.</x:v>
      </x:c>
      <x:c r="F119" s="23" t="str">
        <x:v>Medium</x:v>
      </x:c>
      <x:c r="G119" s="19" t="str">
        <x:v>Inspect the output of a multi-sheet transformation without hunting through tabs and objects.</x:v>
      </x:c>
      <x:c r="H119" s="19" t="str">
        <x:v>Reduces verification effort for dispersed workbook edits.</x:v>
      </x:c>
      <x:c r="I119" s="19" t="str">
        <x:v>Generally available / staged rollout</x:v>
      </x:c>
      <x:c r="J119" s="19" t="str">
        <x:v>Unconfirmed; entry does not specify entitlement
Windows, Web, Mac; regions unconfirmed</x:v>
      </x:c>
      <x:c r="K119" s="19" t="str">
        <x:v>2026-08-26 to 2026-09-22</x:v>
      </x:c>
      <x:c r="L119" s="25" t="str">
        <x:f>IFERROR(HYPERLINK("https://learn.microsoft.com/en-us/microsoft-365/copilot/release-notes#september-23-2026","Microsoft 365 Copilot release notes"),"Microsoft 365 Copilot release notes")</x:f>
        <x:v>Microsoft 365 Copilot release notes</x:v>
      </x:c>
      <x:c r="M119" s="25" t="str"/>
      <x:c r="N119" s="20" t="d">
        <x:v>2026-09-23T00:00:00.000Z</x:v>
      </x:c>
      <x:c r="O119" s="20" t="d">
        <x:v>2026-10-16T00:00:00.000Z</x:v>
      </x:c>
      <x:c r="P119" s="24" t="str">
        <x:v>COP-5934EC7C13</x:v>
      </x:c>
      <x:c r="Q119" s="19" t="str">
        <x:v>General-release milestone</x:v>
      </x:c>
      <x:c r="R119" s="19" t="str">
        <x:v>Release-note batch gives a general-release window, not an exact first-launch date. Tenant rollout can be staged.</x:v>
      </x:c>
      <x:c r="S119" s="19" t="str"/>
      <x:c r="T119" s="19" t="str"/>
      <x:c r="U119" s="20" t="d">
        <x:v>2026-09-23T00:00:00.000Z</x:v>
      </x:c>
    </x:row>
    <x:row r="120" ht="70" customHeight="1">
      <x:c r="A120" s="21" t="d">
        <x:v>2026-09-23T00:00:00.000Z</x:v>
      </x:c>
      <x:c r="B120" s="19" t="str">
        <x:v>Source report date. General-release milestone. Availability precision: Window</x:v>
      </x:c>
      <x:c r="C120" s="19" t="str">
        <x:v>Forms</x:v>
      </x:c>
      <x:c r="D120" s="19" t="str">
        <x:v>Embedded Copilot</x:v>
      </x:c>
      <x:c r="E120" s="19" t="str">
        <x:v>Forms includes a Copilot pane for improving questionnaires, handling invitations and examining submitted responses.</x:v>
      </x:c>
      <x:c r="F120" s="23" t="str">
        <x:v>Medium</x:v>
      </x:c>
      <x:c r="G120" s="19" t="str">
        <x:v>Refine a feedback questionnaire and examine its responses without moving to a separate chat surface.</x:v>
      </x:c>
      <x:c r="H120" s="19" t="str">
        <x:v>Brings several recurring survey tasks into the form workflow.</x:v>
      </x:c>
      <x:c r="I120" s="19" t="str">
        <x:v>Generally available / staged rollout</x:v>
      </x:c>
      <x:c r="J120" s="19" t="str">
        <x:v>Microsoft 365 Copilot business license
Web; regions unconfirmed</x:v>
      </x:c>
      <x:c r="K120" s="19" t="str">
        <x:v>2026-08-26 to 2026-09-22</x:v>
      </x:c>
      <x:c r="L120" s="25" t="str">
        <x:f>IFERROR(HYPERLINK("https://learn.microsoft.com/en-us/microsoft-365/copilot/release-notes#september-23-2026","Microsoft 365 Copilot release notes"),"Microsoft 365 Copilot release notes")</x:f>
        <x:v>Microsoft 365 Copilot release notes</x:v>
      </x:c>
      <x:c r="M120" s="25" t="str"/>
      <x:c r="N120" s="20" t="d">
        <x:v>2026-09-23T00:00:00.000Z</x:v>
      </x:c>
      <x:c r="O120" s="20" t="d">
        <x:v>2026-10-16T00:00:00.000Z</x:v>
      </x:c>
      <x:c r="P120" s="24" t="str">
        <x:v>COP-17F6C35CF2</x:v>
      </x:c>
      <x:c r="Q120" s="19" t="str">
        <x:v>General-release milestone</x:v>
      </x:c>
      <x:c r="R120" s="19" t="str">
        <x:v>Release-note batch gives a general-release window, not an exact first-launch date. Tenant rollout can be staged.</x:v>
      </x:c>
      <x:c r="S120" s="19" t="str"/>
      <x:c r="T120" s="19" t="str">
        <x:v>553136</x:v>
      </x:c>
      <x:c r="U120" s="20" t="d">
        <x:v>2026-09-23T00:00:00.000Z</x:v>
      </x:c>
    </x:row>
    <x:row r="121" ht="70" customHeight="1">
      <x:c r="A121" s="21" t="d">
        <x:v>2026-09-23T00:00:00.000Z</x:v>
      </x:c>
      <x:c r="B121" s="19" t="str">
        <x:v>Source report date. GA release-note batch. Availability precision: Window / relative timing</x:v>
      </x:c>
      <x:c r="C121" s="19" t="str">
        <x:v>Outlook</x:v>
      </x:c>
      <x:c r="D121" s="19" t="str">
        <x:v>Expanded inbox actions</x:v>
      </x:c>
      <x:c r="E121" s="19" t="str">
        <x:v>Move, copy, categorize, delete, manage rules.</x:v>
      </x:c>
      <x:c r="F121" s="23" t="str">
        <x:v>High</x:v>
      </x:c>
      <x:c r="G121" s="19" t="str">
        <x:v>Handle repetitive inbox organization using natural language.</x:v>
      </x:c>
      <x:c r="H121" s="19" t="str">
        <x:v>Moves email assistance from drafting toward completing routine inbox organization.</x:v>
      </x:c>
      <x:c r="I121" s="19" t="str">
        <x:v>GA release-note batch</x:v>
      </x:c>
      <x:c r="J121" s="19" t="str">
        <x:v>Microsoft 365 Copilot; confirm tenant entitlement
Windows, Mac, web, mobile</x:v>
      </x:c>
      <x:c r="K121" s="19" t="str">
        <x:v>2026-08-26 to 2026-09-22</x:v>
      </x:c>
      <x:c r="L121" s="25" t="str">
        <x:f>IFERROR(HYPERLINK("https://learn.microsoft.com/en-us/microsoft-365/copilot/release-notes","Microsoft 365 Copilot release notes"),"Microsoft 365 Copilot release notes")</x:f>
        <x:v>Microsoft 365 Copilot release notes</x:v>
      </x:c>
      <x:c r="M121" s="25" t="str"/>
      <x:c r="N121" s="20" t="d">
        <x:v>2026-09-23T00:00:00.000Z</x:v>
      </x:c>
      <x:c r="O121" s="20" t="d">
        <x:v>2026-10-16T00:00:00.000Z</x:v>
      </x:c>
      <x:c r="P121" s="24" t="str">
        <x:v>COP-64746AE61A</x:v>
      </x:c>
      <x:c r="Q121" s="19" t="str">
        <x:v>GA release-note batch</x:v>
      </x:c>
      <x:c r="R121" s="19" t="str">
        <x:v>September23 release batch; bulk/rule changes prompt confirmation.</x:v>
      </x:c>
      <x:c r="S121" s="19" t="str"/>
      <x:c r="T121" s="19" t="str"/>
      <x:c r="U121" s="20" t="d">
        <x:v>2026-09-23T00:00:00.000Z</x:v>
      </x:c>
    </x:row>
    <x:row r="122" ht="70" customHeight="1">
      <x:c r="A122" s="21" t="d">
        <x:v>2026-09-23T00:00:00.000Z</x:v>
      </x:c>
      <x:c r="B122" s="19" t="str">
        <x:v>Source report date. General-release milestone. Availability precision: Window</x:v>
      </x:c>
      <x:c r="C122" s="19" t="str">
        <x:v>Outlook classic</x:v>
      </x:c>
      <x:c r="D122" s="19" t="str">
        <x:v>Agent integration</x:v>
      </x:c>
      <x:c r="E122" s="19" t="str">
        <x:v>Copilot Chat in classic Outlook for Windows supports integrated declarative-agent experiences.</x:v>
      </x:c>
      <x:c r="F122" s="23" t="str">
        <x:v>Medium</x:v>
      </x:c>
      <x:c r="G122" s="19" t="str">
        <x:v>Use an organization-specific assistant while handling related correspondence in classic Outlook.</x:v>
      </x:c>
      <x:c r="H122" s="19" t="str">
        <x:v>Brings existing specialized agents into an additional work surface.</x:v>
      </x:c>
      <x:c r="I122" s="19" t="str">
        <x:v>Generally available / staged rollout</x:v>
      </x:c>
      <x:c r="J122" s="19" t="str">
        <x:v>Unconfirmed; entry does not specify entitlement
Windows; regions unconfirmed</x:v>
      </x:c>
      <x:c r="K122" s="19" t="str">
        <x:v>2026-08-26 to 2026-09-22</x:v>
      </x:c>
      <x:c r="L122" s="25" t="str">
        <x:f>IFERROR(HYPERLINK("https://learn.microsoft.com/en-us/microsoft-365/copilot/release-notes#september-23-2026","Microsoft 365 Copilot release notes"),"Microsoft 365 Copilot release notes")</x:f>
        <x:v>Microsoft 365 Copilot release notes</x:v>
      </x:c>
      <x:c r="M122" s="25" t="str"/>
      <x:c r="N122" s="20" t="d">
        <x:v>2026-09-23T00:00:00.000Z</x:v>
      </x:c>
      <x:c r="O122" s="20" t="d">
        <x:v>2026-10-16T00:00:00.000Z</x:v>
      </x:c>
      <x:c r="P122" s="24" t="str">
        <x:v>COP-0EA82B719B</x:v>
      </x:c>
      <x:c r="Q122" s="19" t="str">
        <x:v>General-release milestone</x:v>
      </x:c>
      <x:c r="R122" s="19" t="str">
        <x:v>Release-note batch gives a general-release window, not an exact first-launch date. Tenant rollout can be staged.</x:v>
      </x:c>
      <x:c r="S122" s="19" t="str"/>
      <x:c r="T122" s="19" t="str">
        <x:v>481559</x:v>
      </x:c>
      <x:c r="U122" s="20" t="d">
        <x:v>2026-09-23T00:00:00.000Z</x:v>
      </x:c>
    </x:row>
    <x:row r="123" ht="85" customHeight="1">
      <x:c r="A123" s="21" t="d">
        <x:v>2026-09-23T00:00:00.000Z</x:v>
      </x:c>
      <x:c r="B123" s="19" t="str">
        <x:v>Source report date. General-release milestone. Availability precision: Window</x:v>
      </x:c>
      <x:c r="C123" s="19" t="str">
        <x:v>People Skills administration</x:v>
      </x:c>
      <x:c r="D123" s="19" t="str">
        <x:v>Data removal</x:v>
      </x:c>
      <x:c r="E123" s="19" t="str">
        <x:v>An administrator can permanently remove the tenant’s People Skills library and users’ confirmed, inferred and imported skills data.</x:v>
      </x:c>
      <x:c r="F123" s="23" t="str">
        <x:v>Medium</x:v>
      </x:c>
      <x:c r="G123" s="19" t="str">
        <x:v>Offboard a discontinued skills program through a deliberate administrator-led process; deletion needs careful approval.</x:v>
      </x:c>
      <x:c r="H123" s="19" t="str">
        <x:v>Provides a governance exit path, with significant consequences if misused.</x:v>
      </x:c>
      <x:c r="I123" s="19" t="str">
        <x:v>Generally available / staged rollout</x:v>
      </x:c>
      <x:c r="J123" s="19" t="str">
        <x:v>Unconfirmed; entry does not specify entitlement
Web; regions unconfirmed</x:v>
      </x:c>
      <x:c r="K123" s="19" t="str">
        <x:v>2026-08-26 to 2026-09-22</x:v>
      </x:c>
      <x:c r="L123" s="25" t="str">
        <x:f>IFERROR(HYPERLINK("https://learn.microsoft.com/en-us/microsoft-365/copilot/release-notes#september-23-2026","Microsoft 365 Copilot release notes"),"Microsoft 365 Copilot release notes")</x:f>
        <x:v>Microsoft 365 Copilot release notes</x:v>
      </x:c>
      <x:c r="M123" s="25" t="str"/>
      <x:c r="N123" s="20" t="d">
        <x:v>2026-09-23T00:00:00.000Z</x:v>
      </x:c>
      <x:c r="O123" s="20" t="d">
        <x:v>2026-10-16T00:00:00.000Z</x:v>
      </x:c>
      <x:c r="P123" s="24" t="str">
        <x:v>COP-924AC346E4</x:v>
      </x:c>
      <x:c r="Q123" s="19" t="str">
        <x:v>General-release milestone</x:v>
      </x:c>
      <x:c r="R123" s="19" t="str">
        <x:v>Release-note batch gives a general-release window, not an exact first-launch date. Tenant rollout can be staged. Admin-only action; removal covers the skills library and confirmed, inferred, and imported user skills. Do not infer automatic deletion.</x:v>
      </x:c>
      <x:c r="S123" s="19" t="str"/>
      <x:c r="T123" s="19" t="str">
        <x:v>565905</x:v>
      </x:c>
      <x:c r="U123" s="20" t="d">
        <x:v>2026-09-23T00:00:00.000Z</x:v>
      </x:c>
    </x:row>
    <x:row r="124" ht="70" customHeight="1">
      <x:c r="A124" s="21" t="d">
        <x:v>2026-09-23T00:00:00.000Z</x:v>
      </x:c>
      <x:c r="B124" s="19" t="str">
        <x:v>Source report date. GA release-note batch. Availability precision: Window / relative timing</x:v>
      </x:c>
      <x:c r="C124" s="19" t="str">
        <x:v>Planner</x:v>
      </x:c>
      <x:c r="D124" s="19" t="str">
        <x:v>Built-in agent chat</x:v>
      </x:c>
      <x:c r="E124" s="19" t="str">
        <x:v>Ask and manage in-plan tasks.</x:v>
      </x:c>
      <x:c r="F124" s="23" t="str">
        <x:v>Medium</x:v>
      </x:c>
      <x:c r="G124" s="19" t="str">
        <x:v>Update a working plan without manually navigating every task.</x:v>
      </x:c>
      <x:c r="H124" s="19" t="str">
        <x:v>Makes planning assistance available where users are already reviewing project work.</x:v>
      </x:c>
      <x:c r="I124" s="19" t="str">
        <x:v>GA release-note batch</x:v>
      </x:c>
      <x:c r="J124" s="19" t="str">
        <x:v>Microsoft 365 Copilot; confirm tenant entitlement
Windows, web</x:v>
      </x:c>
      <x:c r="K124" s="19" t="str">
        <x:v>2026-08-26 to 2026-09-22</x:v>
      </x:c>
      <x:c r="L124" s="25" t="str">
        <x:f>IFERROR(HYPERLINK("https://learn.microsoft.com/en-us/microsoft-365/copilot/release-notes","Microsoft 365 Copilot release notes"),"Microsoft 365 Copilot release notes")</x:f>
        <x:v>Microsoft 365 Copilot release notes</x:v>
      </x:c>
      <x:c r="M124" s="25" t="str"/>
      <x:c r="N124" s="20" t="d">
        <x:v>2026-09-23T00:00:00.000Z</x:v>
      </x:c>
      <x:c r="O124" s="20" t="d">
        <x:v>2026-10-16T00:00:00.000Z</x:v>
      </x:c>
      <x:c r="P124" s="24" t="str">
        <x:v>COP-22728C0BBF</x:v>
      </x:c>
      <x:c r="Q124" s="19" t="str">
        <x:v>GA release-note batch</x:v>
      </x:c>
      <x:c r="R124" s="19" t="str">
        <x:v>September23 release batch.</x:v>
      </x:c>
      <x:c r="S124" s="19" t="str"/>
      <x:c r="T124" s="19" t="str"/>
      <x:c r="U124" s="20" t="d">
        <x:v>2026-09-23T00:00:00.000Z</x:v>
      </x:c>
    </x:row>
    <x:row r="125" ht="70" customHeight="1">
      <x:c r="A125" s="21" t="d">
        <x:v>2026-09-23T00:00:00.000Z</x:v>
      </x:c>
      <x:c r="B125" s="19" t="str">
        <x:v>Source report date. General-release milestone. Availability precision: Window</x:v>
      </x:c>
      <x:c r="C125" s="19" t="str">
        <x:v>Viva Glint</x:v>
      </x:c>
      <x:c r="D125" s="19" t="str">
        <x:v>Comment classification</x:v>
      </x:c>
      <x:c r="E125" s="19" t="str">
        <x:v>Viva Glint uses Copilot in its pipeline for assigning employee survey comments to topics.</x:v>
      </x:c>
      <x:c r="F125" s="23" t="str">
        <x:v>Medium</x:v>
      </x:c>
      <x:c r="G125" s="19" t="str">
        <x:v>Use automatically grouped employee comments as a starting point, then inspect themes for misclassification.</x:v>
      </x:c>
      <x:c r="H125" s="19" t="str">
        <x:v>Supports survey analysis but does not replace human interpretation.</x:v>
      </x:c>
      <x:c r="I125" s="19" t="str">
        <x:v>Generally available / staged rollout</x:v>
      </x:c>
      <x:c r="J125" s="19" t="str">
        <x:v>Unconfirmed; entry does not specify entitlement
Web; regions unconfirmed</x:v>
      </x:c>
      <x:c r="K125" s="19" t="str">
        <x:v>2026-08-26 to 2026-09-22</x:v>
      </x:c>
      <x:c r="L125" s="25" t="str">
        <x:f>IFERROR(HYPERLINK("https://learn.microsoft.com/en-us/microsoft-365/copilot/release-notes#september-23-2026","Microsoft 365 Copilot release notes"),"Microsoft 365 Copilot release notes")</x:f>
        <x:v>Microsoft 365 Copilot release notes</x:v>
      </x:c>
      <x:c r="M125" s="25" t="str"/>
      <x:c r="N125" s="20" t="d">
        <x:v>2026-09-23T00:00:00.000Z</x:v>
      </x:c>
      <x:c r="O125" s="20" t="d">
        <x:v>2026-10-16T00:00:00.000Z</x:v>
      </x:c>
      <x:c r="P125" s="24" t="str">
        <x:v>COP-146C5A9542</x:v>
      </x:c>
      <x:c r="Q125" s="19" t="str">
        <x:v>General-release milestone</x:v>
      </x:c>
      <x:c r="R125" s="19" t="str">
        <x:v>Release-note batch gives a general-release window, not an exact first-launch date. Tenant rollout can be staged.</x:v>
      </x:c>
      <x:c r="S125" s="19" t="str"/>
      <x:c r="T125" s="19" t="str">
        <x:v>553224</x:v>
      </x:c>
      <x:c r="U125" s="20" t="d">
        <x:v>2026-09-23T00:00:00.000Z</x:v>
      </x:c>
    </x:row>
    <x:row r="126" ht="100" customHeight="1">
      <x:c r="A126" s="21" t="d">
        <x:v>2026-09-23T00:00:00.000Z</x:v>
      </x:c>
      <x:c r="B126" s="19" t="str">
        <x:v>Source report date. General-release milestone. Availability precision: Window</x:v>
      </x:c>
      <x:c r="C126" s="19" t="str">
        <x:v>Viva Insights</x:v>
      </x:c>
      <x:c r="D126" s="19" t="str">
        <x:v>Daily reporting</x:v>
      </x:c>
      <x:c r="E126" s="19" t="str">
        <x:v>A Copilot adoption Power BI report provides daily-level usage snapshots with more recent activity data.</x:v>
      </x:c>
      <x:c r="F126" s="23" t="str">
        <x:v>Medium</x:v>
      </x:c>
      <x:c r="G126" s="19" t="str">
        <x:v>Check whether a training session is followed by a near-term change in usage.</x:v>
      </x:c>
      <x:c r="H126" s="19" t="str">
        <x:v>Shortens the feedback cycle for deployment support.</x:v>
      </x:c>
      <x:c r="I126" s="19" t="str">
        <x:v>Generally available / staged rollout</x:v>
      </x:c>
      <x:c r="J126" s="19" t="str">
        <x:v>Unconfirmed; entry does not specify entitlement
Web; regions unconfirmed</x:v>
      </x:c>
      <x:c r="K126" s="19" t="str">
        <x:v>2026-08-26 to 2026-09-22</x:v>
      </x:c>
      <x:c r="L126" s="25" t="str">
        <x:f>IFERROR(HYPERLINK("https://learn.microsoft.com/en-us/microsoft-365/copilot/release-notes#september-23-2026","Microsoft 365 Copilot release notes"),"Microsoft 365 Copilot release notes")</x:f>
        <x:v>Microsoft 365 Copilot release notes</x:v>
      </x:c>
      <x:c r="M126" s="25" t="str"/>
      <x:c r="N126" s="20" t="d">
        <x:v>2026-09-23T00:00:00.000Z</x:v>
      </x:c>
      <x:c r="O126" s="20" t="d">
        <x:v>2026-10-16T00:00:00.000Z</x:v>
      </x:c>
      <x:c r="P126" s="24" t="str">
        <x:v>COP-BC2CA54B17</x:v>
      </x:c>
      <x:c r="Q126" s="19" t="str">
        <x:v>General-release milestone</x:v>
      </x:c>
      <x:c r="R126" s="19" t="str">
        <x:v>The release-note batch describes a window, not an exact first-launch date. Tenant rollout can be staged. The earlier item is a de-identified daily export. This record describes a daily Power BI adoption report, a distinct reporting output. Earlier related record: Daily usage export (2026-04-30).</x:v>
      </x:c>
      <x:c r="S126" s="19" t="str">
        <x:v>COP-B44389EE99</x:v>
      </x:c>
      <x:c r="T126" s="19" t="str">
        <x:v>561325</x:v>
      </x:c>
      <x:c r="U126" s="20" t="d">
        <x:v>2026-09-23T00:00:00.000Z</x:v>
      </x:c>
    </x:row>
    <x:row r="127" ht="70" customHeight="1">
      <x:c r="A127" s="21" t="d">
        <x:v>2026-09-23T00:00:00.000Z</x:v>
      </x:c>
      <x:c r="B127" s="19" t="str">
        <x:v>Source report date. General-release milestone. Availability precision: Window</x:v>
      </x:c>
      <x:c r="C127" s="19" t="str">
        <x:v>Viva Insights</x:v>
      </x:c>
      <x:c r="D127" s="19" t="str">
        <x:v>GitHub cost view</x:v>
      </x:c>
      <x:c r="E127" s="19" t="str">
        <x:v>An Insights dashboard brings together organizational GitHub Copilot consumption, cost and adoption measures.</x:v>
      </x:c>
      <x:c r="F127" s="23" t="str">
        <x:v>Medium</x:v>
      </x:c>
      <x:c r="G127" s="19" t="str">
        <x:v>Review developer-AI spending alongside adoption before increasing an engineering pilot budget.</x:v>
      </x:c>
      <x:c r="H127" s="19" t="str">
        <x:v>Improves oversight for teams funding GitHub Copilot usage.</x:v>
      </x:c>
      <x:c r="I127" s="19" t="str">
        <x:v>Generally available / staged rollout</x:v>
      </x:c>
      <x:c r="J127" s="19" t="str">
        <x:v>Unconfirmed; entry does not specify entitlement
Web; regions unconfirmed</x:v>
      </x:c>
      <x:c r="K127" s="19" t="str">
        <x:v>2026-08-26 to 2026-09-22</x:v>
      </x:c>
      <x:c r="L127" s="25" t="str">
        <x:f>IFERROR(HYPERLINK("https://learn.microsoft.com/en-us/microsoft-365/copilot/release-notes#september-23-2026","Microsoft 365 Copilot release notes"),"Microsoft 365 Copilot release notes")</x:f>
        <x:v>Microsoft 365 Copilot release notes</x:v>
      </x:c>
      <x:c r="M127" s="25" t="str"/>
      <x:c r="N127" s="20" t="d">
        <x:v>2026-09-23T00:00:00.000Z</x:v>
      </x:c>
      <x:c r="O127" s="20" t="d">
        <x:v>2026-10-16T00:00:00.000Z</x:v>
      </x:c>
      <x:c r="P127" s="24" t="str">
        <x:v>COP-2EF3205C31</x:v>
      </x:c>
      <x:c r="Q127" s="19" t="str">
        <x:v>General-release milestone</x:v>
      </x:c>
      <x:c r="R127" s="19" t="str">
        <x:v>Release-note batch gives a general-release window, not an exact first-launch date. Tenant rollout can be staged. Included as Microsoft 365 Insights governance for GitHub Copilot, not as a coding-assistant feature.</x:v>
      </x:c>
      <x:c r="S127" s="19" t="str"/>
      <x:c r="T127" s="19" t="str">
        <x:v>566470</x:v>
      </x:c>
      <x:c r="U127" s="20" t="d">
        <x:v>2026-09-23T00:00:00.000Z</x:v>
      </x:c>
    </x:row>
    <x:row r="128" ht="85" customHeight="1">
      <x:c r="A128" s="21" t="d">
        <x:v>2026-09-23T00:00:00.000Z</x:v>
      </x:c>
      <x:c r="B128" s="19" t="str">
        <x:v>Source report date. General-release milestone. Availability precision: Window</x:v>
      </x:c>
      <x:c r="C128" s="19" t="str">
        <x:v>Viva Insights</x:v>
      </x:c>
      <x:c r="D128" s="19" t="str">
        <x:v>Power-user adoption segments — general-release milestone</x:v>
      </x:c>
      <x:c r="E128" s="19" t="str">
        <x:v>The Copilot dashboard adds measures identifying sustained or habitual Copilot use.</x:v>
      </x:c>
      <x:c r="F128" s="23" t="str">
        <x:v>Medium</x:v>
      </x:c>
      <x:c r="G128" s="19" t="str">
        <x:v>Locate sustained adopters who may be useful pilot champions, without equating activity with output quality.</x:v>
      </x:c>
      <x:c r="H128" s="19" t="str">
        <x:v>Helps target enablement through repeat-use patterns.</x:v>
      </x:c>
      <x:c r="I128" s="19" t="str">
        <x:v>Generally available / staged rollout</x:v>
      </x:c>
      <x:c r="J128" s="19" t="str">
        <x:v>Unconfirmed; entry does not specify entitlement
Web; regions unconfirmed</x:v>
      </x:c>
      <x:c r="K128" s="19" t="str">
        <x:v>2026-08-26 to 2026-09-22</x:v>
      </x:c>
      <x:c r="L128" s="25" t="str">
        <x:f>IFERROR(HYPERLINK("https://learn.microsoft.com/en-us/microsoft-365/copilot/release-notes#september-23-2026","Microsoft 365 Copilot release notes"),"Microsoft 365 Copilot release notes")</x:f>
        <x:v>Microsoft 365 Copilot release notes</x:v>
      </x:c>
      <x:c r="M128" s="25" t="str"/>
      <x:c r="N128" s="20" t="d">
        <x:v>2026-09-23T00:00:00.000Z</x:v>
      </x:c>
      <x:c r="O128" s="20" t="d">
        <x:v>2026-10-16T00:00:00.000Z</x:v>
      </x:c>
      <x:c r="P128" s="24" t="str">
        <x:v>COP-FE7950A3B9</x:v>
      </x:c>
      <x:c r="Q128" s="19" t="str">
        <x:v>Availability milestone</x:v>
      </x:c>
      <x:c r="R128" s="19" t="str">
        <x:v>The release-note batch describes a window, not an exact first-launch date. Tenant rollout can be staged. April documentation announced planned power-user segmentation. The September batch provides general-release evidence. Earlier related record: Power-user adoption segments (2026-04-30).</x:v>
      </x:c>
      <x:c r="S128" s="19" t="str">
        <x:v>COP-3FD1E1D011</x:v>
      </x:c>
      <x:c r="T128" s="19" t="str">
        <x:v>560705</x:v>
      </x:c>
      <x:c r="U128" s="20" t="d">
        <x:v>2026-09-23T00:00:00.000Z</x:v>
      </x:c>
    </x:row>
    <x:row r="129" ht="70" customHeight="1">
      <x:c r="A129" s="21" t="d">
        <x:v>2026-09-23T00:00:00.000Z</x:v>
      </x:c>
      <x:c r="B129" s="19" t="str">
        <x:v>Source report date. General-release milestone. Availability precision: Window</x:v>
      </x:c>
      <x:c r="C129" s="19" t="str">
        <x:v>Viva Insights / Power BI</x:v>
      </x:c>
      <x:c r="D129" s="19" t="str">
        <x:v>Report filters</x:v>
      </x:c>
      <x:c r="E129" s="19" t="str">
        <x:v>Administrators can expose reserved and organization-defined attributes as additional filters in Copilot-related Power BI reports.</x:v>
      </x:c>
      <x:c r="F129" s="23" t="str">
        <x:v>Medium</x:v>
      </x:c>
      <x:c r="G129" s="19" t="str">
        <x:v>Compare adoption by the business segments used in your own operating model.</x:v>
      </x:c>
      <x:c r="H129" s="19" t="str">
        <x:v>More useful segmentation supports targeted enablement decisions.</x:v>
      </x:c>
      <x:c r="I129" s="19" t="str">
        <x:v>Generally available / staged rollout</x:v>
      </x:c>
      <x:c r="J129" s="19" t="str">
        <x:v>Unconfirmed; entry does not specify entitlement
Web; regions unconfirmed</x:v>
      </x:c>
      <x:c r="K129" s="19" t="str">
        <x:v>2026-08-26 to 2026-09-22</x:v>
      </x:c>
      <x:c r="L129" s="25" t="str">
        <x:f>IFERROR(HYPERLINK("https://learn.microsoft.com/en-us/microsoft-365/copilot/release-notes#september-23-2026","Microsoft 365 Copilot release notes"),"Microsoft 365 Copilot release notes")</x:f>
        <x:v>Microsoft 365 Copilot release notes</x:v>
      </x:c>
      <x:c r="M129" s="25"/>
      <x:c r="N129" s="20" t="d">
        <x:v>2026-09-23T00:00:00.000Z</x:v>
      </x:c>
      <x:c r="O129" s="20" t="d">
        <x:v>2026-10-16T00:00:00.000Z</x:v>
      </x:c>
      <x:c r="P129" s="24" t="str">
        <x:v>COP-376E24C75D</x:v>
      </x:c>
      <x:c r="Q129" s="19" t="str">
        <x:v>General-release milestone</x:v>
      </x:c>
      <x:c r="R129" s="19" t="str">
        <x:v>Release-note batch gives a general-release window, not an exact first-launch date. Tenant rollout can be staged.</x:v>
      </x:c>
      <x:c r="S129" s="19" t="str"/>
      <x:c r="T129" s="19" t="str">
        <x:v>559995</x:v>
      </x:c>
      <x:c r="U129" s="20" t="d">
        <x:v>2026-09-23T00:00:00.000Z</x:v>
      </x:c>
    </x:row>
    <x:row r="130" ht="64" customHeight="1">
      <x:c r="A130" s="21" t="d">
        <x:v>2026-09-22T00:00:00.000Z</x:v>
      </x:c>
      <x:c r="B130" s="19" t="str">
        <x:v>Stated effective date. Rollout started. Availability precision: Exact day</x:v>
      </x:c>
      <x:c r="C130" s="19" t="str">
        <x:v>Copilot models</x:v>
      </x:c>
      <x:c r="D130" s="19" t="str">
        <x:v>Claude Opus 5.5</x:v>
      </x:c>
      <x:c r="E130" s="19" t="str">
        <x:v>Additional model across core Copilot experiences.</x:v>
      </x:c>
      <x:c r="F130" s="23" t="str">
        <x:v>Medium</x:v>
      </x:c>
      <x:c r="G130" s="19" t="str">
        <x:v>Compare output quality on demanding reasoning and drafting workflows.</x:v>
      </x:c>
      <x:c r="H130" s="19" t="str">
        <x:v>Expands high-capability model choice without requiring a separate productivity application.</x:v>
      </x:c>
      <x:c r="I130" s="19" t="str">
        <x:v>Rollout started</x:v>
      </x:c>
      <x:c r="J130" s="19" t="str">
        <x:v>Microsoft 365 Copilot; confirm tenant entitlement
Word, Excel, PowerPoint, Chat, Cowork, Studio; license/access/region vary</x:v>
      </x:c>
      <x:c r="K130" s="19" t="str">
        <x:v>2026-09-22</x:v>
      </x:c>
      <x:c r="L130" s="25" t="str">
        <x:f>IFERROR(HYPERLINK("https://techcommunity.microsoft.com/blog/microsoft-copilot-blog/more-models-one-copilot/4559035","More Models, One Copilot"),"More Models, One Copilot")</x:f>
        <x:v>More Models, One Copilot</x:v>
      </x:c>
      <x:c r="M130" s="25"/>
      <x:c r="N130" s="20" t="d">
        <x:v>2026-09-22T00:00:00.000Z</x:v>
      </x:c>
      <x:c r="O130" s="20" t="d">
        <x:v>2026-10-16T00:00:00.000Z</x:v>
      </x:c>
      <x:c r="P130" s="24" t="str">
        <x:v>COP-3A014C61EE</x:v>
      </x:c>
      <x:c r="Q130" s="19" t="str">
        <x:v>Rollout started</x:v>
      </x:c>
      <x:c r="R130" s="19"/>
      <x:c r="S130" s="19" t="str"/>
      <x:c r="T130" s="19" t="str"/>
      <x:c r="U130" s="20" t="d">
        <x:v>2026-09-22T00:00:00.000Z</x:v>
      </x:c>
    </x:row>
    <x:row r="131" ht="64" customHeight="1">
      <x:c r="A131" s="21" t="d">
        <x:v>2026-09-22T00:00:00.000Z</x:v>
      </x:c>
      <x:c r="B131" s="19" t="str">
        <x:v>Stated effective date. Rollout started. Availability precision: Exact day</x:v>
      </x:c>
      <x:c r="C131" s="19" t="str">
        <x:v>Copilot models</x:v>
      </x:c>
      <x:c r="D131" s="19" t="str">
        <x:v>GPT-6 Sol</x:v>
      </x:c>
      <x:c r="E131" s="19" t="str">
        <x:v>Additional model across core Copilot experiences.</x:v>
      </x:c>
      <x:c r="F131" s="23" t="str">
        <x:v>Medium</x:v>
      </x:c>
      <x:c r="G131" s="19" t="str">
        <x:v>Benchmark complex analysis and deliverable creation against existing model choices.</x:v>
      </x:c>
      <x:c r="H131" s="19" t="str">
        <x:v>Adds a new general model option across common productivity surfaces; task-specific quality still needs testing.</x:v>
      </x:c>
      <x:c r="I131" s="19" t="str">
        <x:v>Rollout started</x:v>
      </x:c>
      <x:c r="J131" s="19" t="str">
        <x:v>Microsoft 365 Copilot; confirm tenant entitlement
Word, Excel, PowerPoint, Chat, Cowork, Studio; license/access/region vary</x:v>
      </x:c>
      <x:c r="K131" s="19" t="str">
        <x:v>2026-09-22</x:v>
      </x:c>
      <x:c r="L131" s="25" t="str">
        <x:f>IFERROR(HYPERLINK("https://techcommunity.microsoft.com/blog/microsoft-copilot-blog/more-models-one-copilot/4559035","More Models, One Copilot"),"More Models, One Copilot")</x:f>
        <x:v>More Models, One Copilot</x:v>
      </x:c>
      <x:c r="M131" s="25"/>
      <x:c r="N131" s="20" t="d">
        <x:v>2026-09-22T00:00:00.000Z</x:v>
      </x:c>
      <x:c r="O131" s="20" t="d">
        <x:v>2026-10-16T00:00:00.000Z</x:v>
      </x:c>
      <x:c r="P131" s="24" t="str">
        <x:v>COP-45A79449AC</x:v>
      </x:c>
      <x:c r="Q131" s="19" t="str">
        <x:v>Rollout started</x:v>
      </x:c>
      <x:c r="R131" s="19"/>
      <x:c r="S131" s="19" t="str"/>
      <x:c r="T131" s="19" t="str"/>
      <x:c r="U131" s="20" t="d">
        <x:v>2026-09-22T00:00:00.000Z</x:v>
      </x:c>
    </x:row>
    <x:row r="132" ht="64" customHeight="1">
      <x:c r="A132" s="21" t="d">
        <x:v>2026-09-14T00:00:00.000Z</x:v>
      </x:c>
      <x:c r="B132" s="19" t="str">
        <x:v>Stated effective date. GA. Availability precision: Exact day</x:v>
      </x:c>
      <x:c r="C132" s="19" t="str">
        <x:v>PowerPoint</x:v>
      </x:c>
      <x:c r="D132" s="19" t="str">
        <x:v>Brand assets in creation</x:v>
      </x:c>
      <x:c r="E132" s="19" t="str">
        <x:v>Use approved templates, imagery, fonts, and icons.</x:v>
      </x:c>
      <x:c r="F132" s="23" t="str">
        <x:v>Medium</x:v>
      </x:c>
      <x:c r="G132" s="19" t="str">
        <x:v>Start a client-facing deck from the correct design system rather than reformatting it afterward.</x:v>
      </x:c>
      <x:c r="H132" s="19" t="str">
        <x:v>Brings approved visual materials into drafting, reducing manual brand substitution later.</x:v>
      </x:c>
      <x:c r="I132" s="19" t="str">
        <x:v>GA</x:v>
      </x:c>
      <x:c r="J132" s="19" t="str">
        <x:v>Microsoft 365 Copilot
Configured organizational Brand Kit</x:v>
      </x:c>
      <x:c r="K132" s="19" t="str">
        <x:v>2026-09-14</x:v>
      </x:c>
      <x:c r="L132" s="25" t="str">
        <x:f>IFERROR(HYPERLINK("https://techcommunity.microsoft.com/blog/microsoft-copilot-blog/brand-kit-and-skills-in-copilot-in-powerpoint/4554932","Brand Kit and Skills in Copilot in PowerPoint"),"Brand Kit and Skills in Copilot in PowerPoint")</x:f>
        <x:v>Brand Kit and Skills in Copilot in PowerPoint</x:v>
      </x:c>
      <x:c r="M132" s="25" t="str"/>
      <x:c r="N132" s="20" t="d">
        <x:v>2026-09-14T00:00:00.000Z</x:v>
      </x:c>
      <x:c r="O132" s="20" t="d">
        <x:v>2026-10-16T00:00:00.000Z</x:v>
      </x:c>
      <x:c r="P132" s="24" t="str">
        <x:v>COP-9EE668B435</x:v>
      </x:c>
      <x:c r="Q132" s="19" t="str">
        <x:v>GA</x:v>
      </x:c>
      <x:c r="R132" s="19" t="str">
        <x:v>July roundup described earlier rollout; September article confirms broad availability rather than first-ever launch.</x:v>
      </x:c>
      <x:c r="S132" s="19" t="str"/>
      <x:c r="T132" s="19" t="str"/>
      <x:c r="U132" s="20" t="d">
        <x:v>2026-09-14T00:00:00.000Z</x:v>
      </x:c>
    </x:row>
    <x:row r="133" ht="64" customHeight="1">
      <x:c r="A133" s="21" t="d">
        <x:v>2026-09-14T00:00:00.000Z</x:v>
      </x:c>
      <x:c r="B133" s="19" t="str">
        <x:v>Stated effective date. GA. Availability precision: Exact day</x:v>
      </x:c>
      <x:c r="C133" s="19" t="str">
        <x:v>PowerPoint</x:v>
      </x:c>
      <x:c r="D133" s="19" t="str">
        <x:v>Organization-managed skills</x:v>
      </x:c>
      <x:c r="E133" s="19" t="str">
        <x:v>Administrators distribute approved workflows to teams.</x:v>
      </x:c>
      <x:c r="F133" s="23" t="str">
        <x:v>High</x:v>
      </x:c>
      <x:c r="G133" s="19" t="str">
        <x:v>Roll out the same proposal-review method across consultants rather than sharing informal prompt text.</x:v>
      </x:c>
      <x:c r="H133" s="19" t="str">
        <x:v>Supports consistent team presentation workflows rather than isolated individual customizations.</x:v>
      </x:c>
      <x:c r="I133" s="19" t="str">
        <x:v>GA</x:v>
      </x:c>
      <x:c r="J133" s="19" t="str">
        <x:v>Microsoft 365 Copilot; confirm tenant entitlement
User/group/organization assignment; admin-controlled</x:v>
      </x:c>
      <x:c r="K133" s="19" t="str">
        <x:v>2026-09-14</x:v>
      </x:c>
      <x:c r="L133" s="25" t="str">
        <x:f>IFERROR(HYPERLINK("https://techcommunity.microsoft.com/blog/microsoft-copilot-blog/brand-kit-and-skills-in-copilot-in-powerpoint/4554932","Brand Kit and Skills in Copilot in PowerPoint"),"Brand Kit and Skills in Copilot in PowerPoint")</x:f>
        <x:v>Brand Kit and Skills in Copilot in PowerPoint</x:v>
      </x:c>
      <x:c r="M133" s="25" t="str"/>
      <x:c r="N133" s="20" t="d">
        <x:v>2026-09-14T00:00:00.000Z</x:v>
      </x:c>
      <x:c r="O133" s="20" t="d">
        <x:v>2026-10-16T00:00:00.000Z</x:v>
      </x:c>
      <x:c r="P133" s="24" t="str">
        <x:v>COP-60A302EF0C</x:v>
      </x:c>
      <x:c r="Q133" s="19" t="str">
        <x:v>GA</x:v>
      </x:c>
      <x:c r="R133" s="19" t="str"/>
      <x:c r="S133" s="19" t="str"/>
      <x:c r="T133" s="19" t="str"/>
      <x:c r="U133" s="20" t="d">
        <x:v>2026-09-14T00:00:00.000Z</x:v>
      </x:c>
    </x:row>
    <x:row r="134" ht="64" customHeight="1">
      <x:c r="A134" s="21" t="d">
        <x:v>2026-09-14T00:00:00.000Z</x:v>
      </x:c>
      <x:c r="B134" s="19" t="str">
        <x:v>Stated effective date. GA. Availability precision: Exact day</x:v>
      </x:c>
      <x:c r="C134" s="19" t="str">
        <x:v>PowerPoint</x:v>
      </x:c>
      <x:c r="D134" s="19" t="str">
        <x:v>Prebuilt presentation skills</x:v>
      </x:c>
      <x:c r="E134" s="19" t="str">
        <x:v>Reusable built-in workflows guide presentation tasks.</x:v>
      </x:c>
      <x:c r="F134" s="23" t="str">
        <x:v>Medium</x:v>
      </x:c>
      <x:c r="G134" s="19" t="str">
        <x:v>Use a repeatable narrative or audience review before distributing a presentation.</x:v>
      </x:c>
      <x:c r="H134" s="19" t="str">
        <x:v>Packages common deck operations into repeatable tasks, reducing prompt-design effort.</x:v>
      </x:c>
      <x:c r="I134" s="19" t="str">
        <x:v>GA</x:v>
      </x:c>
      <x:c r="J134" s="19" t="str">
        <x:v>Microsoft 365 Copilot; confirm tenant entitlement
Verify tenant availability</x:v>
      </x:c>
      <x:c r="K134" s="19" t="str">
        <x:v>2026-09-14</x:v>
      </x:c>
      <x:c r="L134" s="25" t="str">
        <x:f>IFERROR(HYPERLINK("https://techcommunity.microsoft.com/blog/microsoft-copilot-blog/brand-kit-and-skills-in-copilot-in-powerpoint/4554932","Brand Kit and Skills in Copilot in PowerPoint"),"Brand Kit and Skills in Copilot in PowerPoint")</x:f>
        <x:v>Brand Kit and Skills in Copilot in PowerPoint</x:v>
      </x:c>
      <x:c r="M134" s="25" t="str"/>
      <x:c r="N134" s="20" t="d">
        <x:v>2026-09-14T00:00:00.000Z</x:v>
      </x:c>
      <x:c r="O134" s="20" t="d">
        <x:v>2026-10-16T00:00:00.000Z</x:v>
      </x:c>
      <x:c r="P134" s="24" t="str">
        <x:v>COP-3477CFBA26</x:v>
      </x:c>
      <x:c r="Q134" s="19" t="str">
        <x:v>GA</x:v>
      </x:c>
      <x:c r="R134" s="19" t="str"/>
      <x:c r="S134" s="19" t="str"/>
      <x:c r="T134" s="19" t="str"/>
      <x:c r="U134" s="20" t="d">
        <x:v>2026-09-14T00:00:00.000Z</x:v>
      </x:c>
    </x:row>
    <x:row r="135" ht="85" customHeight="1">
      <x:c r="A135" s="21" t="d">
        <x:v>2026-09-12T00:00:00.000Z</x:v>
      </x:c>
      <x:c r="B135" s="19" t="str">
        <x:v>Source report date. Frontier preview rollout announced. Availability precision: Window / relative timing</x:v>
      </x:c>
      <x:c r="C135" s="19" t="str">
        <x:v>Word / Excel / PowerPoint models</x:v>
      </x:c>
      <x:c r="D135" s="19" t="str">
        <x:v>Grok model preview</x:v>
      </x:c>
      <x:c r="E135" s="19" t="str">
        <x:v>Grok joins Office model choices with admin opt-in.</x:v>
      </x:c>
      <x:c r="F135" s="23" t="str">
        <x:v>Medium</x:v>
      </x:c>
      <x:c r="G135" s="19" t="str">
        <x:v>Test alternative responses on nonproduction documents before considering a policy change.</x:v>
      </x:c>
      <x:c r="H135" s="19" t="str">
        <x:v>Expands controlled model evaluation, but limited preview access reduces immediate organization-wide impact.</x:v>
      </x:c>
      <x:c r="I135" s="19" t="str">
        <x:v>Frontier preview rollout announced</x:v>
      </x:c>
      <x:c r="J135" s="19" t="str">
        <x:v>Eligible Frontier customers with Copilot entitlement; admin opt-in required
EU, EFTA, UK excluded during preview; dedicated setting disabled by default.</x:v>
      </x:c>
      <x:c r="K135" s="19" t="str">
        <x:v>Week after September 12, 2026</x:v>
      </x:c>
      <x:c r="L135" s="25" t="str">
        <x:f>IFERROR(HYPERLINK("https://techcommunity.microsoft.com/blog/microsoft-copilot-blog/expanding-model-choice-in-copilot-with-grok/4555749","Expanding model choice in Copilot with Grok"),"Expanding model choice in Copilot with Grok")</x:f>
        <x:v>Expanding model choice in Copilot with Grok</x:v>
      </x:c>
      <x:c r="M135" s="25" t="str"/>
      <x:c r="N135" s="20" t="d">
        <x:v>2026-09-12T00:00:00.000Z</x:v>
      </x:c>
      <x:c r="O135" s="20" t="d">
        <x:v>2026-10-16T00:00:00.000Z</x:v>
      </x:c>
      <x:c r="P135" s="24" t="str">
        <x:v>COP-C6375E9984</x:v>
      </x:c>
      <x:c r="Q135" s="19" t="str">
        <x:v>Frontier preview rollout announced</x:v>
      </x:c>
      <x:c r="R135" s="19" t="str">
        <x:v>Published Sep 12, updated Sep 14. Footnote says coming week; no model version specified. Source names provider SpaceXAI and says added to subprocessors.</x:v>
      </x:c>
      <x:c r="S135" s="19" t="str"/>
      <x:c r="T135" s="19" t="str"/>
      <x:c r="U135" s="20" t="d">
        <x:v>2026-09-12T00:00:00.000Z</x:v>
      </x:c>
    </x:row>
    <x:row r="136" ht="70" customHeight="1">
      <x:c r="A136" s="21" t="d">
        <x:v>2026-09-10T00:00:00.000Z</x:v>
      </x:c>
      <x:c r="B136" s="19" t="str">
        <x:v>Source report date. Gradual rollout. Availability precision: Window / relative timing</x:v>
      </x:c>
      <x:c r="C136" s="19" t="str">
        <x:v>SharePoint AI authoring</x:v>
      </x:c>
      <x:c r="D136" s="19" t="str">
        <x:v>On-canvas selection</x:v>
      </x:c>
      <x:c r="E136" s="19" t="str">
        <x:v>Target selected sections or web parts for edits.</x:v>
      </x:c>
      <x:c r="F136" s="23" t="str">
        <x:v>Medium</x:v>
      </x:c>
      <x:c r="G136" s="19" t="str">
        <x:v>Revise a specific intranet section without describing its location in a long prompt.</x:v>
      </x:c>
      <x:c r="H136" s="19" t="str">
        <x:v>Makes editing requests more precise and can reduce unintended changes outside the target area.</x:v>
      </x:c>
      <x:c r="I136" s="19" t="str">
        <x:v>Gradual rollout</x:v>
      </x:c>
      <x:c r="J136" s="19" t="str">
        <x:v>Copilot in SharePoint enabled
Tenant/release ring varies; edit permission required</x:v>
      </x:c>
      <x:c r="K136" s="19" t="str">
        <x:v>2026-09-10 onward</x:v>
      </x:c>
      <x:c r="L136" s="25" t="str">
        <x:f>IFERROR(HYPERLINK("https://techcommunity.microsoft.com/blog/spblog/sharepoint-ai-page-authoring-select-describe-and-refine/4553193","SharePoint AI page authoring: Select, describe, and refine"),"SharePoint AI page authoring: Select, describe, and refine")</x:f>
        <x:v>SharePoint AI page authoring: Select, describe, and refine</x:v>
      </x:c>
      <x:c r="M136" s="25" t="str"/>
      <x:c r="N136" s="20" t="d">
        <x:v>2026-09-10T00:00:00.000Z</x:v>
      </x:c>
      <x:c r="O136" s="20" t="d">
        <x:v>2026-10-16T00:00:00.000Z</x:v>
      </x:c>
      <x:c r="P136" s="24" t="str">
        <x:v>COP-4426575213</x:v>
      </x:c>
      <x:c r="Q136" s="19" t="str">
        <x:v>Gradual rollout</x:v>
      </x:c>
      <x:c r="R136" s="19" t="str"/>
      <x:c r="S136" s="19" t="str"/>
      <x:c r="T136" s="19" t="str"/>
      <x:c r="U136" s="20" t="d">
        <x:v>2026-09-10T00:00:00.000Z</x:v>
      </x:c>
    </x:row>
    <x:row r="137" ht="70" customHeight="1">
      <x:c r="A137" s="21" t="d">
        <x:v>2026-09-04T00:00:00.000Z</x:v>
      </x:c>
      <x:c r="B137" s="19" t="str">
        <x:v>Stated effective date. Rollout started. Availability precision: Exact day</x:v>
      </x:c>
      <x:c r="C137" s="19" t="str">
        <x:v>Cowork / Copilot Studio</x:v>
      </x:c>
      <x:c r="D137" s="19" t="str">
        <x:v>GPT-6 Astra rollout</x:v>
      </x:c>
      <x:c r="E137" s="19" t="str">
        <x:v>GPT-6 Astra becomes selectable for delegated work.</x:v>
      </x:c>
      <x:c r="F137" s="23" t="str">
        <x:v>Medium</x:v>
      </x:c>
      <x:c r="G137" s="19" t="str">
        <x:v>Compare completion quality on a multi-source board briefing before standardizing a team workflow.</x:v>
      </x:c>
      <x:c r="H137" s="19" t="str">
        <x:v>Adds another model option for substantial delegated tasks; improvement depends on task-specific evaluation.</x:v>
      </x:c>
      <x:c r="I137" s="19" t="str">
        <x:v>Rollout started</x:v>
      </x:c>
      <x:c r="J137" s="19" t="str">
        <x:v>Relevant Copilot/Copilot Studio entitlement; advanced usage billing may apply
Regional and organization availability varies; admin controls apply.</x:v>
      </x:c>
      <x:c r="K137" s="19" t="str">
        <x:v>2026-09-04</x:v>
      </x:c>
      <x:c r="L137" s="25" t="str">
        <x:f>IFERROR(HYPERLINK("https://techcommunity.microsoft.com/blog/microsoft-copilot-blog/available-today-openai-gpt-6-astra-in-microsoft-copilot/4552808","Available today: OpenAI GPT-6 Astra in Microsoft Copilot"),"Available today: OpenAI GPT-6 Astra in Microsoft Copilot")</x:f>
        <x:v>Available today: OpenAI GPT-6 Astra in Microsoft Copilot</x:v>
      </x:c>
      <x:c r="M137" s="25" t="str"/>
      <x:c r="N137" s="20" t="d">
        <x:v>2026-09-04T00:00:00.000Z</x:v>
      </x:c>
      <x:c r="O137" s="20" t="d">
        <x:v>2026-10-16T00:00:00.000Z</x:v>
      </x:c>
      <x:c r="P137" s="24" t="str">
        <x:v>COP-278D6B6EA2</x:v>
      </x:c>
      <x:c r="Q137" s="19" t="str">
        <x:v>Rollout started</x:v>
      </x:c>
      <x:c r="R137" s="19" t="str">
        <x:v>Exact postTime Sep 4; source says rolling out today. Performance gains are vendor claims, not independently measured here.</x:v>
      </x:c>
      <x:c r="S137" s="19" t="str"/>
      <x:c r="T137" s="19" t="str"/>
      <x:c r="U137" s="20" t="d">
        <x:v>2026-09-04T00:00:00.000Z</x:v>
      </x:c>
    </x:row>
    <x:row r="138" ht="70" customHeight="1">
      <x:c r="A138" s="21" t="d">
        <x:v>2026-09-02T00:00:00.000Z</x:v>
      </x:c>
      <x:c r="B138" s="19" t="str">
        <x:v>Stated effective date. Preview-era release. Availability precision: Exact day</x:v>
      </x:c>
      <x:c r="C138" s="19" t="str">
        <x:v>Copilot in SharePoint</x:v>
      </x:c>
      <x:c r="D138" s="19" t="str">
        <x:v>Approval workflows</x:v>
      </x:c>
      <x:c r="E138" s="19" t="str">
        <x:v>Route requests tied to files and lists.</x:v>
      </x:c>
      <x:c r="F138" s="23" t="str">
        <x:v>High</x:v>
      </x:c>
      <x:c r="G138" s="19" t="str">
        <x:v>Keep approval status attached to the source item during vendor or proposal review.</x:v>
      </x:c>
      <x:c r="H138" s="19" t="str">
        <x:v>Encodes a repeatable human checkpoint in document processes rather than relying on informal follow-up.</x:v>
      </x:c>
      <x:c r="I138" s="19" t="str">
        <x:v>Preview-era release</x:v>
      </x:c>
      <x:c r="J138" s="19" t="str">
        <x:v>Microsoft 365 Copilot; confirm tenant entitlement
SharePoint files/lists; permissions apply</x:v>
      </x:c>
      <x:c r="K138" s="19" t="str">
        <x:v>2026-09-02</x:v>
      </x:c>
      <x:c r="L138" s="25" t="str">
        <x:f>IFERROR(HYPERLINK("https://techcommunity.microsoft.com/blog/spblog/whats-new-in-copilot-in-sharepoint-september-2026/4535422","What’s New in Copilot in SharePoint: September 2026"),"What’s New in Copilot in SharePoint: September 2026")</x:f>
        <x:v>What’s New in Copilot in SharePoint: September 2026</x:v>
      </x:c>
      <x:c r="M138" s="25" t="str"/>
      <x:c r="N138" s="20" t="d">
        <x:v>2026-09-02T00:00:00.000Z</x:v>
      </x:c>
      <x:c r="O138" s="20" t="d">
        <x:v>2026-10-16T00:00:00.000Z</x:v>
      </x:c>
      <x:c r="P138" s="24" t="str">
        <x:v>COP-54B49F8127</x:v>
      </x:c>
      <x:c r="Q138" s="19" t="str">
        <x:v>Preview-era release</x:v>
      </x:c>
      <x:c r="R138" s="19"/>
      <x:c r="S138" s="19" t="str"/>
      <x:c r="T138" s="19" t="str"/>
      <x:c r="U138" s="20" t="d">
        <x:v>2026-09-02T00:00:00.000Z</x:v>
      </x:c>
    </x:row>
    <x:row r="139" ht="70" customHeight="1">
      <x:c r="A139" s="21" t="d">
        <x:v>2026-09-02T00:00:00.000Z</x:v>
      </x:c>
      <x:c r="B139" s="19" t="str">
        <x:v>Stated effective date. Preview-era release. Availability precision: Exact day</x:v>
      </x:c>
      <x:c r="C139" s="19" t="str">
        <x:v>Copilot in SharePoint</x:v>
      </x:c>
      <x:c r="D139" s="19" t="str">
        <x:v>Library-wide image understanding</x:v>
      </x:c>
      <x:c r="E139" s="19" t="str">
        <x:v>Analyze visual content across multiple images.</x:v>
      </x:c>
      <x:c r="F139" s="23" t="str">
        <x:v>Medium</x:v>
      </x:c>
      <x:c r="G139" s="19" t="str">
        <x:v>Review a set of field photos for relevant visible details before assigning human inspection.</x:v>
      </x:c>
      <x:c r="H139" s="19" t="str">
        <x:v>Extends analysis to visual content that would otherwise require manual inspection.</x:v>
      </x:c>
      <x:c r="I139" s="19" t="str">
        <x:v>Preview-era release</x:v>
      </x:c>
      <x:c r="J139" s="19" t="str">
        <x:v>Microsoft 365 Copilot; confirm tenant entitlement
Not specified in announcement; verify tenant availability</x:v>
      </x:c>
      <x:c r="K139" s="19" t="str">
        <x:v>2026-09-02</x:v>
      </x:c>
      <x:c r="L139" s="25" t="str">
        <x:f>IFERROR(HYPERLINK("https://techcommunity.microsoft.com/blog/spblog/whats-new-in-copilot-in-sharepoint-september-2026/4535422","What’s New in Copilot in SharePoint: September 2026"),"What’s New in Copilot in SharePoint: September 2026")</x:f>
        <x:v>What’s New in Copilot in SharePoint: September 2026</x:v>
      </x:c>
      <x:c r="M139" s="25" t="str"/>
      <x:c r="N139" s="20" t="d">
        <x:v>2026-09-02T00:00:00.000Z</x:v>
      </x:c>
      <x:c r="O139" s="20" t="d">
        <x:v>2026-10-16T00:00:00.000Z</x:v>
      </x:c>
      <x:c r="P139" s="24" t="str">
        <x:v>COP-3135439614</x:v>
      </x:c>
      <x:c r="Q139" s="19" t="str">
        <x:v>Preview-era release</x:v>
      </x:c>
      <x:c r="R139" s="19" t="str"/>
      <x:c r="S139" s="19" t="str"/>
      <x:c r="T139" s="19" t="str"/>
      <x:c r="U139" s="20" t="d">
        <x:v>2026-09-02T00:00:00.000Z</x:v>
      </x:c>
    </x:row>
    <x:row r="140" ht="100" customHeight="1">
      <x:c r="A140" s="21" t="d">
        <x:v>2026-09-02T00:00:00.000Z</x:v>
      </x:c>
      <x:c r="B140" s="19" t="str">
        <x:v>Stated effective date. Preview-era release. Availability precision: Exact day</x:v>
      </x:c>
      <x:c r="C140" s="19" t="str">
        <x:v>Copilot in SharePoint</x:v>
      </x:c>
      <x:c r="D140" s="19" t="str">
        <x:v>Portable personal skills</x:v>
      </x:c>
      <x:c r="E140" s="19" t="str">
        <x:v>Reuse personal guidance across sites.</x:v>
      </x:c>
      <x:c r="F140" s="23" t="str">
        <x:v>Medium</x:v>
      </x:c>
      <x:c r="G140" s="19" t="str">
        <x:v>Apply a consistent executive-briefing method wherever project evidence is stored.</x:v>
      </x:c>
      <x:c r="H140" s="19" t="str">
        <x:v>Makes a useful content workflow reusable across workspaces rather than tied to one library.</x:v>
      </x:c>
      <x:c r="I140" s="19" t="str">
        <x:v>Preview-era release</x:v>
      </x:c>
      <x:c r="J140" s="19" t="str">
        <x:v>Microsoft 365 Copilot
SharePoint / OneDrive</x:v>
      </x:c>
      <x:c r="K140" s="19" t="str">
        <x:v>2026-09-02</x:v>
      </x:c>
      <x:c r="L140" s="25" t="str">
        <x:f>IFERROR(HYPERLINK("https://techcommunity.microsoft.com/blog/spblog/whats-new-in-copilot-in-sharepoint-september-2026/4535422","What’s New in Copilot in SharePoint: September 2026"),"What’s New in Copilot in SharePoint: September 2026")</x:f>
        <x:v>What’s New in Copilot in SharePoint: September 2026</x:v>
      </x:c>
      <x:c r="M140" s="25" t="str"/>
      <x:c r="N140" s="20" t="d">
        <x:v>2026-09-02T00:00:00.000Z</x:v>
      </x:c>
      <x:c r="O140" s="20" t="d">
        <x:v>2026-10-16T00:00:00.000Z</x:v>
      </x:c>
      <x:c r="P140" s="24" t="str">
        <x:v>COP-B473E1A4BB</x:v>
      </x:c>
      <x:c r="Q140" s="19" t="str">
        <x:v>Preview-era release</x:v>
      </x:c>
      <x:c r="R140" s="19" t="str">
        <x:v>August roundup described public preview and December worldwide target; September30 overall product GA does not alone prove each personal-skill rollout complete. August31 roundup labels August public preview and December worldwide plan; September30 SharePoint GA announcement later broadens availability. Specific skill-wide completion remains unverified.</x:v>
      </x:c>
      <x:c r="S140" s="19" t="str"/>
      <x:c r="T140" s="19" t="str"/>
      <x:c r="U140" s="20" t="d">
        <x:v>2026-09-02T00:00:00.000Z</x:v>
      </x:c>
    </x:row>
    <x:row r="141" ht="70" customHeight="1">
      <x:c r="A141" s="21" t="d">
        <x:v>2026-09-02T00:00:00.000Z</x:v>
      </x:c>
      <x:c r="B141" s="19" t="str">
        <x:v>Stated effective date. Preview-era release. Availability precision: Exact day</x:v>
      </x:c>
      <x:c r="C141" s="19" t="str">
        <x:v>Copilot in SharePoint</x:v>
      </x:c>
      <x:c r="D141" s="19" t="str">
        <x:v>Skill evaluations</x:v>
      </x:c>
      <x:c r="E141" s="19" t="str">
        <x:v>Test and refine reusable instructions.</x:v>
      </x:c>
      <x:c r="F141" s="23" t="str">
        <x:v>Medium</x:v>
      </x:c>
      <x:c r="G141" s="19" t="str">
        <x:v>Check whether a reusable document-review method improves before deploying it widely.</x:v>
      </x:c>
      <x:c r="H141" s="19" t="str">
        <x:v>Helps detect workflow regressions before distributing a reusable skill more widely.</x:v>
      </x:c>
      <x:c r="I141" s="19" t="str">
        <x:v>Preview-era release</x:v>
      </x:c>
      <x:c r="J141" s="19" t="str">
        <x:v>Microsoft 365 Copilot; confirm tenant entitlement
Not specified in announcement; verify tenant availability</x:v>
      </x:c>
      <x:c r="K141" s="19" t="str">
        <x:v>2026-09-02</x:v>
      </x:c>
      <x:c r="L141" s="25" t="str">
        <x:f>IFERROR(HYPERLINK("https://techcommunity.microsoft.com/blog/spblog/whats-new-in-copilot-in-sharepoint-september-2026/4535422","What’s New in Copilot in SharePoint: September 2026"),"What’s New in Copilot in SharePoint: September 2026")</x:f>
        <x:v>What’s New in Copilot in SharePoint: September 2026</x:v>
      </x:c>
      <x:c r="M141" s="25" t="str"/>
      <x:c r="N141" s="20" t="d">
        <x:v>2026-09-02T00:00:00.000Z</x:v>
      </x:c>
      <x:c r="O141" s="20" t="d">
        <x:v>2026-10-16T00:00:00.000Z</x:v>
      </x:c>
      <x:c r="P141" s="24" t="str">
        <x:v>COP-46A5E80472</x:v>
      </x:c>
      <x:c r="Q141" s="19" t="str">
        <x:v>Preview-era release</x:v>
      </x:c>
      <x:c r="R141" s="19" t="str"/>
      <x:c r="S141" s="19" t="str"/>
      <x:c r="T141" s="19" t="str"/>
      <x:c r="U141" s="20" t="d">
        <x:v>2026-09-02T00:00:00.000Z</x:v>
      </x:c>
    </x:row>
    <x:row r="142" ht="70" customHeight="1">
      <x:c r="A142" s="21" t="d">
        <x:v>2026-09-01T00:00:00.000Z</x:v>
      </x:c>
      <x:c r="B142" s="19" t="str">
        <x:v>Source report date. GA. Availability precision: Window / source disagreement</x:v>
      </x:c>
      <x:c r="C142" s="19" t="str">
        <x:v>Excel</x:v>
      </x:c>
      <x:c r="D142" s="19" t="str">
        <x:v>Change-history analysis</x:v>
      </x:c>
      <x:c r="E142" s="19" t="str">
        <x:v>Summarize edits and identify contributors.</x:v>
      </x:c>
      <x:c r="F142" s="23" t="str">
        <x:v>Medium</x:v>
      </x:c>
      <x:c r="G142" s="19" t="str">
        <x:v>Review a shared financial model before relying on numbers that changed while you were away.</x:v>
      </x:c>
      <x:c r="H142" s="19" t="str">
        <x:v>Helps reviewers understand collaborative edits without inspecting every cell manually.</x:v>
      </x:c>
      <x:c r="I142" s="19" t="str">
        <x:v>GA</x:v>
      </x:c>
      <x:c r="J142" s="19" t="str">
        <x:v>Microsoft 365 Copilot; confirm tenant entitlement
Not specified in announcement; verify tenant availability</x:v>
      </x:c>
      <x:c r="K142" s="19" t="str">
        <x:v>2026-08 to 2026-09-01</x:v>
      </x:c>
      <x:c r="L142" s="25" t="str">
        <x:f>IFERROR(HYPERLINK("https://techcommunity.microsoft.com/blog/excelblog/copilot-in-excel-bringing-clarity-to-collaborative-workbooks/4552007","Copilot in Excel: Bringing clarity to collaborative workbooks"),"Copilot in Excel: Bringing clarity to collaborative workbooks")</x:f>
        <x:v>Copilot in Excel: Bringing clarity to collaborative workbooks</x:v>
      </x:c>
      <x:c r="M142" s="25" t="str">
        <x:f>IFERROR(HYPERLINK("https://techcommunity.microsoft.com/blog/microsoft-copilot-blog/what%E2%80%99s-new-in-microsoft-copilot--august-2026/4551960","Additional Microsoft source"),"Additional Microsoft source")</x:f>
        <x:v>Additional Microsoft source</x:v>
      </x:c>
      <x:c r="N142" s="20" t="d">
        <x:v>2026-09-01T00:00:00.000Z</x:v>
      </x:c>
      <x:c r="O142" s="20" t="d">
        <x:v>2026-10-16T00:00:00.000Z</x:v>
      </x:c>
      <x:c r="P142" s="24" t="str">
        <x:v>COP-CDBC7DA6B3</x:v>
      </x:c>
      <x:c r="Q142" s="19" t="str">
        <x:v>GA</x:v>
      </x:c>
      <x:c r="R142" s="19" t="str">
        <x:v> August31 roundup says rolled outAugust; September1 dedicated blog confirms GA. Exact first availability not established.</x:v>
      </x:c>
      <x:c r="S142" s="19" t="str"/>
      <x:c r="T142" s="19" t="str"/>
      <x:c r="U142" s="20" t="d">
        <x:v>2026-09-01T00:00:00.000Z</x:v>
      </x:c>
    </x:row>
    <x:row r="143" ht="70" customHeight="1">
      <x:c r="A143" s="21" t="d">
        <x:v>2026-09-01T00:00:00.000Z</x:v>
      </x:c>
      <x:c r="B143" s="19" t="str">
        <x:v>Source report date. GA. Availability precision: Window / source disagreement</x:v>
      </x:c>
      <x:c r="C143" s="19" t="str">
        <x:v>Excel</x:v>
      </x:c>
      <x:c r="D143" s="19" t="str">
        <x:v>Formula change investigation</x:v>
      </x:c>
      <x:c r="E143" s="19" t="str">
        <x:v>Trace relevant edits behind broken calculations.</x:v>
      </x:c>
      <x:c r="F143" s="23" t="str">
        <x:v>Medium</x:v>
      </x:c>
      <x:c r="G143" s="19" t="str">
        <x:v>Investigate a failed forecast formula and recover its last working form.</x:v>
      </x:c>
      <x:c r="H143" s="19" t="str">
        <x:v>Can shorten diagnosis of broken financial or operational models after collaborative edits.</x:v>
      </x:c>
      <x:c r="I143" s="19" t="str">
        <x:v>GA</x:v>
      </x:c>
      <x:c r="J143" s="19" t="str">
        <x:v>Microsoft 365 Copilot; confirm tenant entitlement
Not specified in announcement; verify tenant availability</x:v>
      </x:c>
      <x:c r="K143" s="19" t="str">
        <x:v>2026-08 to 2026-09-01</x:v>
      </x:c>
      <x:c r="L143" s="25" t="str">
        <x:f>IFERROR(HYPERLINK("https://techcommunity.microsoft.com/blog/excelblog/copilot-in-excel-bringing-clarity-to-collaborative-workbooks/4552007","Copilot in Excel: Bringing clarity to collaborative workbooks"),"Copilot in Excel: Bringing clarity to collaborative workbooks")</x:f>
        <x:v>Copilot in Excel: Bringing clarity to collaborative workbooks</x:v>
      </x:c>
      <x:c r="M143" s="25" t="str">
        <x:f>IFERROR(HYPERLINK("https://techcommunity.microsoft.com/blog/microsoft-copilot-blog/what%E2%80%99s-new-in-microsoft-copilot--august-2026/4551960","Additional Microsoft source"),"Additional Microsoft source")</x:f>
        <x:v>Additional Microsoft source</x:v>
      </x:c>
      <x:c r="N143" s="20" t="d">
        <x:v>2026-09-01T00:00:00.000Z</x:v>
      </x:c>
      <x:c r="O143" s="20" t="d">
        <x:v>2026-10-16T00:00:00.000Z</x:v>
      </x:c>
      <x:c r="P143" s="24" t="str">
        <x:v>COP-3F0784BA74</x:v>
      </x:c>
      <x:c r="Q143" s="19" t="str">
        <x:v>GA</x:v>
      </x:c>
      <x:c r="R143" s="19" t="str">
        <x:v> August31 roundup says rolled outAugust; September1 dedicated blog confirms GA. Exact first availability not established.</x:v>
      </x:c>
      <x:c r="S143" s="19" t="str"/>
      <x:c r="T143" s="19" t="str"/>
      <x:c r="U143" s="20" t="d">
        <x:v>2026-09-01T00:00:00.000Z</x:v>
      </x:c>
    </x:row>
    <x:row r="144" ht="70" customHeight="1">
      <x:c r="A144" s="21" t="d">
        <x:v>2026-09-01T00:00:00.000Z</x:v>
      </x:c>
      <x:c r="B144" s="19" t="str">
        <x:v>Source report date. GA. Availability precision: Window / source disagreement</x:v>
      </x:c>
      <x:c r="C144" s="19" t="str">
        <x:v>Excel</x:v>
      </x:c>
      <x:c r="D144" s="19" t="str">
        <x:v>Selective change reversal</x:v>
      </x:c>
      <x:c r="E144" s="19" t="str">
        <x:v>Reverse selected AI-assisted edits while retaining other changes.</x:v>
      </x:c>
      <x:c r="F144" s="23" t="str">
        <x:v>Medium</x:v>
      </x:c>
      <x:c r="G144" s="19" t="str">
        <x:v>Recover unwanted automated edits without discarding legitimate work by collaborators.</x:v>
      </x:c>
      <x:c r="H144" s="19" t="str">
        <x:v>Makes targeted recovery possible without discarding unrelated useful changes.</x:v>
      </x:c>
      <x:c r="I144" s="19" t="str">
        <x:v>GA</x:v>
      </x:c>
      <x:c r="J144" s="19" t="str">
        <x:v>Microsoft 365 Copilot; confirm tenant entitlement
Not specified in announcement; verify tenant availability</x:v>
      </x:c>
      <x:c r="K144" s="19" t="str">
        <x:v>2026-08 to 2026-09-01</x:v>
      </x:c>
      <x:c r="L144" s="25" t="str">
        <x:f>IFERROR(HYPERLINK("https://techcommunity.microsoft.com/blog/excelblog/copilot-in-excel-bringing-clarity-to-collaborative-workbooks/4552007","Copilot in Excel: Bringing clarity to collaborative workbooks"),"Copilot in Excel: Bringing clarity to collaborative workbooks")</x:f>
        <x:v>Copilot in Excel: Bringing clarity to collaborative workbooks</x:v>
      </x:c>
      <x:c r="M144" s="25" t="str">
        <x:f>IFERROR(HYPERLINK("https://techcommunity.microsoft.com/blog/microsoft-copilot-blog/what%E2%80%99s-new-in-microsoft-copilot--august-2026/4551960","Additional Microsoft source"),"Additional Microsoft source")</x:f>
        <x:v>Additional Microsoft source</x:v>
      </x:c>
      <x:c r="N144" s="20" t="d">
        <x:v>2026-09-01T00:00:00.000Z</x:v>
      </x:c>
      <x:c r="O144" s="20" t="d">
        <x:v>2026-10-16T00:00:00.000Z</x:v>
      </x:c>
      <x:c r="P144" s="24" t="str">
        <x:v>COP-3FF0D41150</x:v>
      </x:c>
      <x:c r="Q144" s="19" t="str">
        <x:v>GA</x:v>
      </x:c>
      <x:c r="R144" s="19" t="str">
        <x:v> August31 roundup says rolled outAugust; September1 dedicated blog confirms GA. Exact first availability not established.</x:v>
      </x:c>
      <x:c r="S144" s="19" t="str"/>
      <x:c r="T144" s="19" t="str"/>
      <x:c r="U144" s="20" t="d">
        <x:v>2026-09-01T00:00:00.000Z</x:v>
      </x:c>
    </x:row>
    <x:row r="145" ht="85" customHeight="1">
      <x:c r="A145" s="21" t="d">
        <x:v>2026-09-01T00:00:00.000Z</x:v>
      </x:c>
      <x:c r="B145" s="19" t="str">
        <x:v>Stated effective date. Preview enhancement. Availability precision: Exact day</x:v>
      </x:c>
      <x:c r="C145" s="19" t="str">
        <x:v>Teams Phone Agent</x:v>
      </x:c>
      <x:c r="D145" s="19" t="str">
        <x:v>Bookings integration</x:v>
      </x:c>
      <x:c r="E145" s="19" t="str">
        <x:v>Configure appointment actions through PowerShell.</x:v>
      </x:c>
      <x:c r="F145" s="23" t="str">
        <x:v>High</x:v>
      </x:c>
      <x:c r="G145" s="19" t="str">
        <x:v>Let routine appointment requests flow into the organization’s booking workflow.</x:v>
      </x:c>
      <x:c r="H145" s="19" t="str">
        <x:v>Connects incoming calls to appointment workflows, reducing manual scheduling handoffs.</x:v>
      </x:c>
      <x:c r="I145" s="19" t="str">
        <x:v>Preview enhancement</x:v>
      </x:c>
      <x:c r="J145" s="19" t="str">
        <x:v>Teams Phone prerequisites plus usage-based billing in Copilot Credits; funded spending policy required
Not supported in India; admin and telephony prerequisites apply. Without configured policy or credits, falls back to Auto Attendant.</x:v>
      </x:c>
      <x:c r="K145" s="19" t="str">
        <x:v>2026-09-01</x:v>
      </x:c>
      <x:c r="L145" s="25" t="str">
        <x:f>IFERROR(HYPERLINK("https://learn.microsoft.com/en-us/microsoftteams/aa-cq-setup-teams-phone-agent","Setup - Teams Phone Agent"),"Setup - Teams Phone Agent")</x:f>
        <x:v>Setup - Teams Phone Agent</x:v>
      </x:c>
      <x:c r="M145" s="25" t="str"/>
      <x:c r="N145" s="20" t="d">
        <x:v>2026-09-01T00:00:00.000Z</x:v>
      </x:c>
      <x:c r="O145" s="20" t="d">
        <x:v>2026-10-16T00:00:00.000Z</x:v>
      </x:c>
      <x:c r="P145" s="24" t="str">
        <x:v>COP-0D77CFCFEC</x:v>
      </x:c>
      <x:c r="Q145" s="19" t="str">
        <x:v>Preview enhancement</x:v>
      </x:c>
      <x:c r="R145" s="19" t="str">
        <x:v>Date is the explicit dated changelog entry in the setup article, not an inferred page publication date.</x:v>
      </x:c>
      <x:c r="S145" s="19" t="str"/>
      <x:c r="T145" s="19" t="str"/>
      <x:c r="U145" s="20" t="d">
        <x:v>2026-09-01T00:00:00.000Z</x:v>
      </x:c>
    </x:row>
    <x:row r="146" ht="85" customHeight="1">
      <x:c r="A146" s="21" t="d">
        <x:v>2026-08-31T00:00:00.000Z</x:v>
      </x:c>
      <x:c r="B146" s="19" t="str">
        <x:v>Source report date. Announced September rollout; tenant unverified. Availability precision: Month only</x:v>
      </x:c>
      <x:c r="C146" s="19" t="str">
        <x:v>Copilot / Agent 365 analytics</x:v>
      </x:c>
      <x:c r="D146" s="19" t="str">
        <x:v>De-identified row-level export</x:v>
      </x:c>
      <x:c r="E146" s="19" t="str">
        <x:v>Exports usage metrics and attributes.</x:v>
      </x:c>
      <x:c r="F146" s="23" t="str">
        <x:v>Medium</x:v>
      </x:c>
      <x:c r="G146" s="19" t="str">
        <x:v>Build a team-level adoption report using approved analytical controls.</x:v>
      </x:c>
      <x:c r="H146" s="19" t="str">
        <x:v>Allows custom adoption analysis while avoiding direct personal identifiers in the exported dataset.</x:v>
      </x:c>
      <x:c r="I146" s="19" t="str">
        <x:v>Announced September rollout; tenant unverified</x:v>
      </x:c>
      <x:c r="J146" s="19" t="str">
        <x:v>Relevant Microsoft 365 Copilot entitlement; announcement does not fully specify licensing
Admin export; de-identification does not eliminate all privacy considerations</x:v>
      </x:c>
      <x:c r="K146" s="19" t="str">
        <x:v>2026-09</x:v>
      </x:c>
      <x:c r="L146" s="25" t="str">
        <x:f>IFERROR(HYPERLINK("https://techcommunity.microsoft.com/blog/microsoft-copilot-blog/what%E2%80%99s-new-in-microsoft-copilot--august-2026/4551960","What’s New in Microsoft Copilot | August 2026"),"What’s New in Microsoft Copilot | August 2026")</x:f>
        <x:v>What’s New in Microsoft Copilot | August 2026</x:v>
      </x:c>
      <x:c r="M146" s="25" t="str"/>
      <x:c r="N146" s="20" t="d">
        <x:v>2026-08-31T00:00:00.000Z</x:v>
      </x:c>
      <x:c r="O146" s="20" t="d">
        <x:v>2026-10-16T00:00:00.000Z</x:v>
      </x:c>
      <x:c r="P146" s="24" t="str">
        <x:v>COP-3C1E6134C7</x:v>
      </x:c>
      <x:c r="Q146" s="19" t="str">
        <x:v>Announced September rollout; tenant unverified</x:v>
      </x:c>
      <x:c r="R146" s="19"/>
      <x:c r="S146" s="19" t="str"/>
      <x:c r="T146" s="19" t="str"/>
      <x:c r="U146" s="20" t="d">
        <x:v>2026-08-31T00:00:00.000Z</x:v>
      </x:c>
    </x:row>
    <x:row r="147" ht="85" customHeight="1">
      <x:c r="A147" s="21" t="d">
        <x:v>2026-08-31T00:00:00.000Z</x:v>
      </x:c>
      <x:c r="B147" s="19" t="str">
        <x:v>Source report date. Announced September rollout; tenant unverified. Availability precision: Month only</x:v>
      </x:c>
      <x:c r="C147" s="19" t="str">
        <x:v>Copilot / Planner</x:v>
      </x:c>
      <x:c r="D147" s="19" t="str">
        <x:v>Task creation and queries</x:v>
      </x:c>
      <x:c r="E147" s="19" t="str">
        <x:v>Create tasks and retrieve Planner task information.</x:v>
      </x:c>
      <x:c r="F147" s="23" t="str">
        <x:v>High</x:v>
      </x:c>
      <x:c r="G147" s="19" t="str">
        <x:v>Turn an agreed action into a Planner task and check its current status.</x:v>
      </x:c>
      <x:c r="H147" s="19" t="str">
        <x:v>Connects conversation to task-system records instead of leaving action items in prose.</x:v>
      </x:c>
      <x:c r="I147" s="19" t="str">
        <x:v>Announced September rollout; tenant unverified</x:v>
      </x:c>
      <x:c r="J147" s="19" t="str">
        <x:v>Relevant Microsoft 365 Copilot entitlement; announcement does not fully specify licensing
Tenant availability and applicable admin policy must be checked</x:v>
      </x:c>
      <x:c r="K147" s="19" t="str">
        <x:v>2026-09</x:v>
      </x:c>
      <x:c r="L147" s="25" t="str">
        <x:f>IFERROR(HYPERLINK("https://techcommunity.microsoft.com/blog/microsoft-copilot-blog/what%E2%80%99s-new-in-microsoft-copilot--august-2026/4551960","What’s New in Microsoft Copilot | August 2026"),"What’s New in Microsoft Copilot | August 2026")</x:f>
        <x:v>What’s New in Microsoft Copilot | August 2026</x:v>
      </x:c>
      <x:c r="M147" s="25" t="str"/>
      <x:c r="N147" s="20" t="d">
        <x:v>2026-08-31T00:00:00.000Z</x:v>
      </x:c>
      <x:c r="O147" s="20" t="d">
        <x:v>2026-10-16T00:00:00.000Z</x:v>
      </x:c>
      <x:c r="P147" s="24" t="str">
        <x:v>COP-9EBA8E6AD9</x:v>
      </x:c>
      <x:c r="Q147" s="19" t="str">
        <x:v>Announced September rollout; tenant unverified</x:v>
      </x:c>
      <x:c r="R147" s="19"/>
      <x:c r="S147" s="19" t="str"/>
      <x:c r="T147" s="19" t="str"/>
      <x:c r="U147" s="20" t="d">
        <x:v>2026-08-31T00:00:00.000Z</x:v>
      </x:c>
    </x:row>
    <x:row r="148" ht="70" customHeight="1">
      <x:c r="A148" s="21" t="d">
        <x:v>2026-08-31T00:00:00.000Z</x:v>
      </x:c>
      <x:c r="B148" s="19" t="str">
        <x:v>Source report date. Released / rolling out. Availability precision: Month only</x:v>
      </x:c>
      <x:c r="C148" s="19" t="str">
        <x:v>Copilot Chat</x:v>
      </x:c>
      <x:c r="D148" s="19" t="str">
        <x:v>Dynamic answer cards</x:v>
      </x:c>
      <x:c r="E148" s="19" t="str">
        <x:v>Rich cards for common information queries.</x:v>
      </x:c>
      <x:c r="F148" s="23" t="str">
        <x:v>Low</x:v>
      </x:c>
      <x:c r="G148" s="19" t="str">
        <x:v>Check weather or market context in a compact visual answer.</x:v>
      </x:c>
      <x:c r="H148" s="19" t="str">
        <x:v>Improves presentation and scanning rather than enterprise workflow scope.</x:v>
      </x:c>
      <x:c r="I148" s="19" t="str">
        <x:v>Released / rolling out</x:v>
      </x:c>
      <x:c r="J148" s="19" t="str">
        <x:v>Relevant Microsoft 365 Copilot entitlement; announcement does not fully specify licensing
Supported Entra and Microsoft-account experiences vary</x:v>
      </x:c>
      <x:c r="K148" s="19" t="str">
        <x:v>2026-08</x:v>
      </x:c>
      <x:c r="L148" s="25" t="str">
        <x:f>IFERROR(HYPERLINK("https://techcommunity.microsoft.com/blog/microsoft-copilot-blog/what%E2%80%99s-new-in-microsoft-copilot--august-2026/4551960","What’s New in Microsoft Copilot | August 2026"),"What’s New in Microsoft Copilot | August 2026")</x:f>
        <x:v>What’s New in Microsoft Copilot | August 2026</x:v>
      </x:c>
      <x:c r="M148" s="25" t="str"/>
      <x:c r="N148" s="20" t="d">
        <x:v>2026-08-31T00:00:00.000Z</x:v>
      </x:c>
      <x:c r="O148" s="20" t="d">
        <x:v>2026-10-16T00:00:00.000Z</x:v>
      </x:c>
      <x:c r="P148" s="24" t="str">
        <x:v>COP-B44FCB2C51</x:v>
      </x:c>
      <x:c r="Q148" s="19" t="str">
        <x:v>Released / rolling out</x:v>
      </x:c>
      <x:c r="R148" s="19" t="str"/>
      <x:c r="S148" s="19" t="str"/>
      <x:c r="T148" s="19" t="str"/>
      <x:c r="U148" s="20" t="d">
        <x:v>2026-08-31T00:00:00.000Z</x:v>
      </x:c>
    </x:row>
    <x:row r="149" ht="70" customHeight="1">
      <x:c r="A149" s="21" t="d">
        <x:v>2026-08-31T00:00:00.000Z</x:v>
      </x:c>
      <x:c r="B149" s="19" t="str">
        <x:v>Source report date. Released / rolling out. Availability precision: Month only</x:v>
      </x:c>
      <x:c r="C149" s="19" t="str">
        <x:v>Copilot Chat</x:v>
      </x:c>
      <x:c r="D149" s="19" t="str">
        <x:v>Selected-response prompting</x:v>
      </x:c>
      <x:c r="E149" s="19" t="str">
        <x:v>Ask follow-ups about selected response text.</x:v>
      </x:c>
      <x:c r="F149" s="23" t="str">
        <x:v>Low</x:v>
      </x:c>
      <x:c r="G149" s="19" t="str">
        <x:v>Refine one paragraph in a long answer without re-explaining the rest of the conversation.</x:v>
      </x:c>
      <x:c r="H149" s="19" t="str">
        <x:v>Makes follow-up questions more precise with less copying and restating context.</x:v>
      </x:c>
      <x:c r="I149" s="19" t="str">
        <x:v>Released / rolling out</x:v>
      </x:c>
      <x:c r="J149" s="19" t="str">
        <x:v>Microsoft 365 Copilot; confirm tenant entitlement
Not specified in announcement; verify tenant availability</x:v>
      </x:c>
      <x:c r="K149" s="19" t="str">
        <x:v>2026-08</x:v>
      </x:c>
      <x:c r="L149" s="25" t="str">
        <x:f>IFERROR(HYPERLINK("https://techcommunity.microsoft.com/blog/microsoft-copilot-blog/what%E2%80%99s-new-in-microsoft-copilot--august-2026/4551960","What’s New in Microsoft Copilot | August 2026"),"What’s New in Microsoft Copilot | August 2026")</x:f>
        <x:v>What’s New in Microsoft Copilot | August 2026</x:v>
      </x:c>
      <x:c r="M149" s="25" t="str"/>
      <x:c r="N149" s="20" t="d">
        <x:v>2026-08-31T00:00:00.000Z</x:v>
      </x:c>
      <x:c r="O149" s="20" t="d">
        <x:v>2026-10-16T00:00:00.000Z</x:v>
      </x:c>
      <x:c r="P149" s="24" t="str">
        <x:v>COP-D911A6055A</x:v>
      </x:c>
      <x:c r="Q149" s="19" t="str">
        <x:v>Released / rolling out</x:v>
      </x:c>
      <x:c r="R149" s="19"/>
      <x:c r="S149" s="19" t="str"/>
      <x:c r="T149" s="19" t="str"/>
      <x:c r="U149" s="20" t="d">
        <x:v>2026-08-31T00:00:00.000Z</x:v>
      </x:c>
    </x:row>
    <x:row r="150" ht="70" customHeight="1">
      <x:c r="A150" s="21" t="d">
        <x:v>2026-08-31T00:00:00.000Z</x:v>
      </x:c>
      <x:c r="B150" s="19" t="str">
        <x:v>Source report date. Released / rolling out. Availability precision: Month only</x:v>
      </x:c>
      <x:c r="C150" s="19" t="str">
        <x:v>Copilot Chat</x:v>
      </x:c>
      <x:c r="D150" s="19" t="str">
        <x:v>Share chats and responses</x:v>
      </x:c>
      <x:c r="E150" s="19" t="str">
        <x:v>Share read-only links with continuation options.</x:v>
      </x:c>
      <x:c r="F150" s="23" t="str">
        <x:v>Medium</x:v>
      </x:c>
      <x:c r="G150" s="19" t="str">
        <x:v>Let colleagues reuse research context rather than copying an answer without its conversation.</x:v>
      </x:c>
      <x:c r="H150" s="19" t="str">
        <x:v>Reduces friction in handing an AI-supported analysis to colleagues for review.</x:v>
      </x:c>
      <x:c r="I150" s="19" t="str">
        <x:v>Released / rolling out</x:v>
      </x:c>
      <x:c r="J150" s="19" t="str">
        <x:v>Microsoft 365 Copilot; confirm tenant entitlement
Organizational sharing controls apply</x:v>
      </x:c>
      <x:c r="K150" s="19" t="str">
        <x:v>2026-08</x:v>
      </x:c>
      <x:c r="L150" s="25" t="str">
        <x:f>IFERROR(HYPERLINK("https://techcommunity.microsoft.com/blog/microsoft-copilot-blog/what%E2%80%99s-new-in-microsoft-copilot--august-2026/4551960","What’s New in Microsoft Copilot | August 2026"),"What’s New in Microsoft Copilot | August 2026")</x:f>
        <x:v>What’s New in Microsoft Copilot | August 2026</x:v>
      </x:c>
      <x:c r="M150" s="25" t="str"/>
      <x:c r="N150" s="20" t="d">
        <x:v>2026-08-31T00:00:00.000Z</x:v>
      </x:c>
      <x:c r="O150" s="20" t="d">
        <x:v>2026-10-16T00:00:00.000Z</x:v>
      </x:c>
      <x:c r="P150" s="24" t="str">
        <x:v>COP-63A5C143ED</x:v>
      </x:c>
      <x:c r="Q150" s="19" t="str">
        <x:v>Released / rolling out</x:v>
      </x:c>
      <x:c r="R150" s="19" t="str"/>
      <x:c r="S150" s="19" t="str"/>
      <x:c r="T150" s="19" t="str"/>
      <x:c r="U150" s="20" t="d">
        <x:v>2026-08-31T00:00:00.000Z</x:v>
      </x:c>
    </x:row>
    <x:row r="151" ht="70" customHeight="1">
      <x:c r="A151" s="21" t="d">
        <x:v>2026-08-31T00:00:00.000Z</x:v>
      </x:c>
      <x:c r="B151" s="19" t="str">
        <x:v>Source report date. Released / rolling out. Availability precision: Month only</x:v>
      </x:c>
      <x:c r="C151" s="19" t="str">
        <x:v>Copilot Chat / Cowork</x:v>
      </x:c>
      <x:c r="D151" s="19" t="str">
        <x:v>Power BI grounding worldwide</x:v>
      </x:c>
      <x:c r="E151" s="19" t="str">
        <x:v>Report and semantic-model grounding expands.</x:v>
      </x:c>
      <x:c r="F151" s="23" t="str">
        <x:v>High</x:v>
      </x:c>
      <x:c r="G151" s="19" t="str">
        <x:v>Discuss sales performance against authorized reporting data.</x:v>
      </x:c>
      <x:c r="H151" s="19" t="str">
        <x:v>Brings governed business metrics into conversational analysis without manual exports.</x:v>
      </x:c>
      <x:c r="I151" s="19" t="str">
        <x:v>Released / rolling out</x:v>
      </x:c>
      <x:c r="J151" s="19" t="str">
        <x:v>Relevant Microsoft 365 Copilot entitlement; announcement does not fully specify licensing
Existing data permissions apply; source says worldwide rollout</x:v>
      </x:c>
      <x:c r="K151" s="19" t="str">
        <x:v>2026-08</x:v>
      </x:c>
      <x:c r="L151" s="25" t="str">
        <x:f>IFERROR(HYPERLINK("https://techcommunity.microsoft.com/blog/microsoft-copilot-blog/what%E2%80%99s-new-in-microsoft-copilot--august-2026/4551960","What’s New in Microsoft Copilot | August 2026"),"What’s New in Microsoft Copilot | August 2026")</x:f>
        <x:v>What’s New in Microsoft Copilot | August 2026</x:v>
      </x:c>
      <x:c r="M151" s="25"/>
      <x:c r="N151" s="20" t="d">
        <x:v>2026-08-31T00:00:00.000Z</x:v>
      </x:c>
      <x:c r="O151" s="20" t="d">
        <x:v>2026-10-16T00:00:00.000Z</x:v>
      </x:c>
      <x:c r="P151" s="24" t="str">
        <x:v>COP-0500EC4166</x:v>
      </x:c>
      <x:c r="Q151" s="19" t="str">
        <x:v>Released / rolling out</x:v>
      </x:c>
      <x:c r="R151" s="19" t="str">
        <x:v>June public preview followed by August worldwide rollout; distinct availability milestone, not first announcement.</x:v>
      </x:c>
      <x:c r="S151" s="19" t="str"/>
      <x:c r="T151" s="19" t="str"/>
      <x:c r="U151" s="20" t="d">
        <x:v>2026-08-31T00:00:00.000Z</x:v>
      </x:c>
    </x:row>
    <x:row r="152" ht="70" customHeight="1">
      <x:c r="A152" s="21" t="d">
        <x:v>2026-08-31T00:00:00.000Z</x:v>
      </x:c>
      <x:c r="B152" s="19" t="str">
        <x:v>Source report date. Released / rolling out. Availability precision: Month only</x:v>
      </x:c>
      <x:c r="C152" s="19" t="str">
        <x:v>Copilot Chat mobile</x:v>
      </x:c>
      <x:c r="D152" s="19" t="str">
        <x:v>Outlook draft handoff</x:v>
      </x:c>
      <x:c r="E152" s="19" t="str">
        <x:v>Generate embedded drafts and open them in Outlook.</x:v>
      </x:c>
      <x:c r="F152" s="23" t="str">
        <x:v>Medium</x:v>
      </x:c>
      <x:c r="G152" s="19" t="str">
        <x:v>Convert an idea captured on a phone into a reviewable outbound message.</x:v>
      </x:c>
      <x:c r="H152" s="19" t="str">
        <x:v>Connects mobile drafting to the familiar email-review flow without automatically sending.</x:v>
      </x:c>
      <x:c r="I152" s="19" t="str">
        <x:v>Released / rolling out</x:v>
      </x:c>
      <x:c r="J152" s="19" t="str">
        <x:v>Microsoft 365 Copilot; confirm tenant entitlement
Mobile</x:v>
      </x:c>
      <x:c r="K152" s="19" t="str">
        <x:v>2026-08</x:v>
      </x:c>
      <x:c r="L152" s="25" t="str">
        <x:f>IFERROR(HYPERLINK("https://techcommunity.microsoft.com/blog/microsoft-copilot-blog/what%E2%80%99s-new-in-microsoft-copilot--august-2026/4551960","What’s New in Microsoft Copilot | August 2026"),"What’s New in Microsoft Copilot | August 2026")</x:f>
        <x:v>What’s New in Microsoft Copilot | August 2026</x:v>
      </x:c>
      <x:c r="M152" s="25"/>
      <x:c r="N152" s="20" t="d">
        <x:v>2026-08-31T00:00:00.000Z</x:v>
      </x:c>
      <x:c r="O152" s="20" t="d">
        <x:v>2026-10-16T00:00:00.000Z</x:v>
      </x:c>
      <x:c r="P152" s="24" t="str">
        <x:v>COP-1FB40364FF</x:v>
      </x:c>
      <x:c r="Q152" s="19" t="str">
        <x:v>Released / rolling out</x:v>
      </x:c>
      <x:c r="R152" s="19"/>
      <x:c r="S152" s="19" t="str"/>
      <x:c r="T152" s="19" t="str"/>
      <x:c r="U152" s="20" t="d">
        <x:v>2026-08-31T00:00:00.000Z</x:v>
      </x:c>
    </x:row>
    <x:row r="153" ht="70" customHeight="1">
      <x:c r="A153" s="21" t="d">
        <x:v>2026-08-31T00:00:00.000Z</x:v>
      </x:c>
      <x:c r="B153" s="19" t="str">
        <x:v>Source report date. Released / rolling out. Availability precision: Month only</x:v>
      </x:c>
      <x:c r="C153" s="19" t="str">
        <x:v>Copilot connectors / plugins</x:v>
      </x:c>
      <x:c r="D153" s="19" t="str">
        <x:v>August industry integrations</x:v>
      </x:c>
      <x:c r="E153" s="19" t="str">
        <x:v>Adds specialist business and legal sources.</x:v>
      </x:c>
      <x:c r="F153" s="23" t="str">
        <x:v>High</x:v>
      </x:c>
      <x:c r="G153" s="19" t="str">
        <x:v>Evaluate an approved legal-data connector for a research workflow.</x:v>
      </x:c>
      <x:c r="H153" s="19" t="str">
        <x:v>Extends usable domain context but depends on provider access and administrator approval.</x:v>
      </x:c>
      <x:c r="I153" s="19" t="str">
        <x:v>Released / rolling out</x:v>
      </x:c>
      <x:c r="J153" s="19" t="str">
        <x:v>Copilot access plus partner subscriptions or permissions where needed
Includes iManage, Harvey, Relativity, Everlaw, Xero, Statista, Asana and others; availability/provider rights vary</x:v>
      </x:c>
      <x:c r="K153" s="19" t="str">
        <x:v>2026-08</x:v>
      </x:c>
      <x:c r="L153" s="25" t="str">
        <x:f>IFERROR(HYPERLINK("https://techcommunity.microsoft.com/blog/microsoft-copilot-blog/what%E2%80%99s-new-in-microsoft-copilot--august-2026/4551960","What’s New in Microsoft Copilot | August 2026"),"What’s New in Microsoft Copilot | August 2026")</x:f>
        <x:v>What’s New in Microsoft Copilot | August 2026</x:v>
      </x:c>
      <x:c r="M153" s="25" t="str"/>
      <x:c r="N153" s="20" t="d">
        <x:v>2026-08-31T00:00:00.000Z</x:v>
      </x:c>
      <x:c r="O153" s="20" t="d">
        <x:v>2026-10-16T00:00:00.000Z</x:v>
      </x:c>
      <x:c r="P153" s="24" t="str">
        <x:v>COP-BFF206574B</x:v>
      </x:c>
      <x:c r="Q153" s="19" t="str">
        <x:v>Released / rolling out</x:v>
      </x:c>
      <x:c r="R153" s="19" t="str">
        <x:v>Some named legal integrations predate October15 legal launch; October announcement is not proof they were all newly invented then.</x:v>
      </x:c>
      <x:c r="S153" s="19" t="str"/>
      <x:c r="T153" s="19" t="str"/>
      <x:c r="U153" s="20" t="d">
        <x:v>2026-08-31T00:00:00.000Z</x:v>
      </x:c>
    </x:row>
    <x:row r="154" ht="70" customHeight="1">
      <x:c r="A154" s="21" t="d">
        <x:v>2026-08-31T00:00:00.000Z</x:v>
      </x:c>
      <x:c r="B154" s="19" t="str">
        <x:v>Source report date. Released / rolling out. Availability precision: Month only</x:v>
      </x:c>
      <x:c r="C154" s="19" t="str">
        <x:v>Copilot Cowork</x:v>
      </x:c>
      <x:c r="D154" s="19" t="str">
        <x:v>Automations management view</x:v>
      </x:c>
      <x:c r="E154" s="19" t="str">
        <x:v>Scheduled tab becomes Automations.</x:v>
      </x:c>
      <x:c r="F154" s="23" t="str">
        <x:v>Low</x:v>
      </x:c>
      <x:c r="G154" s="19" t="str">
        <x:v>Find scheduled and event-triggered tasks in one place.</x:v>
      </x:c>
      <x:c r="H154" s="19" t="str">
        <x:v>Consolidates task administration but does not itself add execution capability.</x:v>
      </x:c>
      <x:c r="I154" s="19" t="str">
        <x:v>Released / rolling out</x:v>
      </x:c>
      <x:c r="J154" s="19" t="str">
        <x:v>Relevant Microsoft 365 Copilot entitlement; announcement does not fully specify licensing
Tenant availability and applicable admin policy must be checked</x:v>
      </x:c>
      <x:c r="K154" s="19" t="str">
        <x:v>2026-08</x:v>
      </x:c>
      <x:c r="L154" s="25" t="str">
        <x:f>IFERROR(HYPERLINK("https://techcommunity.microsoft.com/blog/microsoft-copilot-blog/what%E2%80%99s-new-in-microsoft-copilot--august-2026/4551960","What’s New in Microsoft Copilot | August 2026"),"What’s New in Microsoft Copilot | August 2026")</x:f>
        <x:v>What’s New in Microsoft Copilot | August 2026</x:v>
      </x:c>
      <x:c r="M154" s="25" t="str"/>
      <x:c r="N154" s="20" t="d">
        <x:v>2026-08-31T00:00:00.000Z</x:v>
      </x:c>
      <x:c r="O154" s="20" t="d">
        <x:v>2026-10-16T00:00:00.000Z</x:v>
      </x:c>
      <x:c r="P154" s="24" t="str">
        <x:v>COP-95507CA102</x:v>
      </x:c>
      <x:c r="Q154" s="19" t="str">
        <x:v>Released / rolling out</x:v>
      </x:c>
      <x:c r="R154" s="19" t="str"/>
      <x:c r="S154" s="19" t="str"/>
      <x:c r="T154" s="19" t="str"/>
      <x:c r="U154" s="20" t="d">
        <x:v>2026-08-31T00:00:00.000Z</x:v>
      </x:c>
    </x:row>
    <x:row r="155" ht="70" customHeight="1">
      <x:c r="A155" s="21" t="d">
        <x:v>2026-08-31T00:00:00.000Z</x:v>
      </x:c>
      <x:c r="B155" s="19" t="str">
        <x:v>Source report date. Released / rolling out. Availability precision: Month only</x:v>
      </x:c>
      <x:c r="C155" s="19" t="str">
        <x:v>Copilot Cowork</x:v>
      </x:c>
      <x:c r="D155" s="19" t="str">
        <x:v>Cost skill budget detail</x:v>
      </x:c>
      <x:c r="E155" s="19" t="str">
        <x:v>Shows session and month-to-date spending.</x:v>
      </x:c>
      <x:c r="F155" s="23" t="str">
        <x:v>Medium</x:v>
      </x:c>
      <x:c r="G155" s="19" t="str">
        <x:v>Check remaining budget before starting a large recurring analysis.</x:v>
      </x:c>
      <x:c r="H155" s="19" t="str">
        <x:v>Provides feedback useful for adjusting costly task behavior before month end.</x:v>
      </x:c>
      <x:c r="I155" s="19" t="str">
        <x:v>Released / rolling out</x:v>
      </x:c>
      <x:c r="J155" s="19" t="str">
        <x:v>Cowork access; usage limits and credit billing apply
/cost shows remaining percentage and reset timing</x:v>
      </x:c>
      <x:c r="K155" s="19" t="str">
        <x:v>2026-08</x:v>
      </x:c>
      <x:c r="L155" s="25" t="str">
        <x:f>IFERROR(HYPERLINK("https://techcommunity.microsoft.com/blog/microsoft-copilot-blog/what%E2%80%99s-new-in-microsoft-copilot--august-2026/4551960","What’s New in Microsoft Copilot | August 2026"),"What’s New in Microsoft Copilot | August 2026")</x:f>
        <x:v>What’s New in Microsoft Copilot | August 2026</x:v>
      </x:c>
      <x:c r="M155" s="25" t="str"/>
      <x:c r="N155" s="20" t="d">
        <x:v>2026-08-31T00:00:00.000Z</x:v>
      </x:c>
      <x:c r="O155" s="20" t="d">
        <x:v>2026-10-16T00:00:00.000Z</x:v>
      </x:c>
      <x:c r="P155" s="24" t="str">
        <x:v>COP-611701DDB3</x:v>
      </x:c>
      <x:c r="Q155" s="19" t="str">
        <x:v>Released / rolling out</x:v>
      </x:c>
      <x:c r="R155" s="19" t="str"/>
      <x:c r="S155" s="19" t="str"/>
      <x:c r="T155" s="19" t="str"/>
      <x:c r="U155" s="20" t="d">
        <x:v>2026-08-31T00:00:00.000Z</x:v>
      </x:c>
    </x:row>
    <x:row r="156" ht="70" customHeight="1">
      <x:c r="A156" s="21" t="d">
        <x:v>2026-08-31T00:00:00.000Z</x:v>
      </x:c>
      <x:c r="B156" s="19" t="str">
        <x:v>Source report date. Released / rolling out. Availability precision: Month only</x:v>
      </x:c>
      <x:c r="C156" s="19" t="str">
        <x:v>Copilot Cowork</x:v>
      </x:c>
      <x:c r="D156" s="19" t="str">
        <x:v>Effort-level selection</x:v>
      </x:c>
      <x:c r="E156" s="19" t="str">
        <x:v>Choose reasoning effort beside model selection.</x:v>
      </x:c>
      <x:c r="F156" s="23" t="str">
        <x:v>Medium</x:v>
      </x:c>
      <x:c r="G156" s="19" t="str">
        <x:v>Use lighter effort for a simple list and more effort for a difficult synthesis.</x:v>
      </x:c>
      <x:c r="H156" s="19" t="str">
        <x:v>Creates an explicit quality-speed-cost tradeoff for users rather than a hidden default.</x:v>
      </x:c>
      <x:c r="I156" s="19" t="str">
        <x:v>Released / rolling out</x:v>
      </x:c>
      <x:c r="J156" s="19" t="str">
        <x:v>Cowork access; usage limits and credit billing apply
Medium default; Light, High, Extra High, Max options vary by model</x:v>
      </x:c>
      <x:c r="K156" s="19" t="str">
        <x:v>2026-08</x:v>
      </x:c>
      <x:c r="L156" s="25" t="str">
        <x:f>IFERROR(HYPERLINK("https://techcommunity.microsoft.com/blog/microsoft-copilot-blog/what%E2%80%99s-new-in-microsoft-copilot--august-2026/4551960","What’s New in Microsoft Copilot | August 2026"),"What’s New in Microsoft Copilot | August 2026")</x:f>
        <x:v>What’s New in Microsoft Copilot | August 2026</x:v>
      </x:c>
      <x:c r="M156" s="25" t="str"/>
      <x:c r="N156" s="20" t="d">
        <x:v>2026-08-31T00:00:00.000Z</x:v>
      </x:c>
      <x:c r="O156" s="20" t="d">
        <x:v>2026-10-16T00:00:00.000Z</x:v>
      </x:c>
      <x:c r="P156" s="24" t="str">
        <x:v>COP-F79140692F</x:v>
      </x:c>
      <x:c r="Q156" s="19" t="str">
        <x:v>Released / rolling out</x:v>
      </x:c>
      <x:c r="R156" s="19" t="str"/>
      <x:c r="S156" s="19" t="str"/>
      <x:c r="T156" s="19" t="str"/>
      <x:c r="U156" s="20" t="d">
        <x:v>2026-08-31T00:00:00.000Z</x:v>
      </x:c>
    </x:row>
    <x:row r="157" ht="85" customHeight="1">
      <x:c r="A157" s="21" t="d">
        <x:v>2026-08-31T00:00:00.000Z</x:v>
      </x:c>
      <x:c r="B157" s="19" t="str">
        <x:v>Source report date. Announced September rollout; tenant unverified. Availability precision: Month only</x:v>
      </x:c>
      <x:c r="C157" s="19" t="str">
        <x:v>Copilot Notebooks</x:v>
      </x:c>
      <x:c r="D157" s="19" t="str">
        <x:v>Android multimodal capture</x:v>
      </x:c>
      <x:c r="E157" s="19" t="str">
        <x:v>Audio, images, and notes become structured context.</x:v>
      </x:c>
      <x:c r="F157" s="23" t="str">
        <x:v>Medium</x:v>
      </x:c>
      <x:c r="G157" s="19" t="str">
        <x:v>Capture a site-visit observation and images for a later project summary.</x:v>
      </x:c>
      <x:c r="H157" s="19" t="str">
        <x:v>Captures fieldwork context in one project workspace rather than separate files.</x:v>
      </x:c>
      <x:c r="I157" s="19" t="str">
        <x:v>Announced September rollout; tenant unverified</x:v>
      </x:c>
      <x:c r="J157" s="19" t="str">
        <x:v>Relevant Microsoft 365 Copilot entitlement; announcement does not fully specify licensing
Android expansion; OneNote iOS/iPad support also noted</x:v>
      </x:c>
      <x:c r="K157" s="19" t="str">
        <x:v>2026-09</x:v>
      </x:c>
      <x:c r="L157" s="25" t="str">
        <x:f>IFERROR(HYPERLINK("https://techcommunity.microsoft.com/blog/microsoft-copilot-blog/what%E2%80%99s-new-in-microsoft-copilot--august-2026/4551960","What’s New in Microsoft Copilot | August 2026"),"What’s New in Microsoft Copilot | August 2026")</x:f>
        <x:v>What’s New in Microsoft Copilot | August 2026</x:v>
      </x:c>
      <x:c r="M157" s="25" t="str"/>
      <x:c r="N157" s="20" t="d">
        <x:v>2026-08-31T00:00:00.000Z</x:v>
      </x:c>
      <x:c r="O157" s="20" t="d">
        <x:v>2026-10-16T00:00:00.000Z</x:v>
      </x:c>
      <x:c r="P157" s="24" t="str">
        <x:v>COP-29C56B074B</x:v>
      </x:c>
      <x:c r="Q157" s="19" t="str">
        <x:v>Announced September rollout; tenant unverified</x:v>
      </x:c>
      <x:c r="R157" s="19" t="str">
        <x:v>Distinct from September Copilot mobile Record, which focuses on transcript/summary in Chat.</x:v>
      </x:c>
      <x:c r="S157" s="19" t="str"/>
      <x:c r="T157" s="19" t="str"/>
      <x:c r="U157" s="20" t="d">
        <x:v>2026-08-31T00:00:00.000Z</x:v>
      </x:c>
    </x:row>
    <x:row r="158" ht="70" customHeight="1">
      <x:c r="A158" s="21" t="d">
        <x:v>2026-08-31T00:00:00.000Z</x:v>
      </x:c>
      <x:c r="B158" s="19" t="str">
        <x:v>Source report date. Released / rolling out. Availability precision: Month only</x:v>
      </x:c>
      <x:c r="C158" s="19" t="str">
        <x:v>Copilot Notebooks</x:v>
      </x:c>
      <x:c r="D158" s="19" t="str">
        <x:v>Suggested project artifacts</x:v>
      </x:c>
      <x:c r="E158" s="19" t="str">
        <x:v>Recommends context-relevant Office outputs.</x:v>
      </x:c>
      <x:c r="F158" s="23" t="str">
        <x:v>Medium</x:v>
      </x:c>
      <x:c r="G158" s="19" t="str">
        <x:v>Use a suggested briefing as a starting point and check its sources.</x:v>
      </x:c>
      <x:c r="H158" s="19" t="str">
        <x:v>Reduces blank-page planning when converting project research into a deliverable.</x:v>
      </x:c>
      <x:c r="I158" s="19" t="str">
        <x:v>Released / rolling out</x:v>
      </x:c>
      <x:c r="J158" s="19" t="str">
        <x:v>Relevant Microsoft 365 Copilot entitlement; announcement does not fully specify licensing
Tenant availability and applicable admin policy must be checked</x:v>
      </x:c>
      <x:c r="K158" s="19" t="str">
        <x:v>2026-08</x:v>
      </x:c>
      <x:c r="L158" s="25" t="str">
        <x:f>IFERROR(HYPERLINK("https://techcommunity.microsoft.com/blog/microsoft-copilot-blog/what%E2%80%99s-new-in-microsoft-copilot--august-2026/4551960","What’s New in Microsoft Copilot | August 2026"),"What’s New in Microsoft Copilot | August 2026")</x:f>
        <x:v>What’s New in Microsoft Copilot | August 2026</x:v>
      </x:c>
      <x:c r="M158" s="25" t="str"/>
      <x:c r="N158" s="20" t="d">
        <x:v>2026-08-31T00:00:00.000Z</x:v>
      </x:c>
      <x:c r="O158" s="20" t="d">
        <x:v>2026-10-16T00:00:00.000Z</x:v>
      </x:c>
      <x:c r="P158" s="24" t="str">
        <x:v>COP-39B64A58FE</x:v>
      </x:c>
      <x:c r="Q158" s="19" t="str">
        <x:v>Released / rolling out</x:v>
      </x:c>
      <x:c r="R158" s="19"/>
      <x:c r="S158" s="19" t="str"/>
      <x:c r="T158" s="19"/>
      <x:c r="U158" s="20" t="d">
        <x:v>2026-08-31T00:00:00.000Z</x:v>
      </x:c>
    </x:row>
    <x:row r="159" ht="70" customHeight="1">
      <x:c r="A159" s="21" t="d">
        <x:v>2026-08-31T00:00:00.000Z</x:v>
      </x:c>
      <x:c r="B159" s="19" t="str">
        <x:v>Source report date. Released / rolling out. Availability precision: Month only</x:v>
      </x:c>
      <x:c r="C159" s="19" t="str">
        <x:v>Copilot Notebooks / OneNote</x:v>
      </x:c>
      <x:c r="D159" s="19" t="str">
        <x:v>Synchronized notebook workspaces</x:v>
      </x:c>
      <x:c r="E159" s="19" t="str">
        <x:v>App and OneNote experiences stay synchronized.</x:v>
      </x:c>
      <x:c r="F159" s="23" t="str">
        <x:v>Medium</x:v>
      </x:c>
      <x:c r="G159" s="19" t="str">
        <x:v>Start a quick question in Copilot, then continue project organization in OneNote.</x:v>
      </x:c>
      <x:c r="H159" s="19" t="str">
        <x:v>Allows lightweight inquiry and deeper project work without rebuilding context.</x:v>
      </x:c>
      <x:c r="I159" s="19" t="str">
        <x:v>Released / rolling out</x:v>
      </x:c>
      <x:c r="J159" s="19" t="str">
        <x:v>Relevant Microsoft 365 Copilot entitlement; announcement does not fully specify licensing
Tenant availability and applicable admin policy must be checked</x:v>
      </x:c>
      <x:c r="K159" s="19" t="str">
        <x:v>2026-08</x:v>
      </x:c>
      <x:c r="L159" s="25" t="str">
        <x:f>IFERROR(HYPERLINK("https://techcommunity.microsoft.com/blog/microsoft-copilot-blog/what%E2%80%99s-new-in-microsoft-copilot--august-2026/4551960","What’s New in Microsoft Copilot | August 2026"),"What’s New in Microsoft Copilot | August 2026")</x:f>
        <x:v>What’s New in Microsoft Copilot | August 2026</x:v>
      </x:c>
      <x:c r="M159" s="25" t="str"/>
      <x:c r="N159" s="20" t="d">
        <x:v>2026-08-31T00:00:00.000Z</x:v>
      </x:c>
      <x:c r="O159" s="20" t="d">
        <x:v>2026-10-16T00:00:00.000Z</x:v>
      </x:c>
      <x:c r="P159" s="24" t="str">
        <x:v>COP-6AC3F13700</x:v>
      </x:c>
      <x:c r="Q159" s="19" t="str">
        <x:v>Released / rolling out</x:v>
      </x:c>
      <x:c r="R159" s="19" t="str">
        <x:v>This record covers cross-app synchronization. Broader notebook interface changes are recorded separately.</x:v>
      </x:c>
      <x:c r="S159" s="19" t="str"/>
      <x:c r="T159" s="19" t="str"/>
      <x:c r="U159" s="20" t="d">
        <x:v>2026-08-31T00:00:00.000Z</x:v>
      </x:c>
    </x:row>
    <x:row r="160" ht="70" customHeight="1">
      <x:c r="A160" s="21" t="d">
        <x:v>2026-08-31T00:00:00.000Z</x:v>
      </x:c>
      <x:c r="B160" s="19" t="str">
        <x:v>Source report date. Released / rolling out. Availability precision: Month only</x:v>
      </x:c>
      <x:c r="C160" s="19" t="str">
        <x:v>Outlook</x:v>
      </x:c>
      <x:c r="D160" s="19" t="str">
        <x:v>Custom engine agents</x:v>
      </x:c>
      <x:c r="E160" s="19" t="str">
        <x:v>Custom-runtime agents become accessible in Outlook.</x:v>
      </x:c>
      <x:c r="F160" s="23" t="str">
        <x:v>High</x:v>
      </x:c>
      <x:c r="G160" s="19" t="str">
        <x:v>Use an approved service agent while reviewing the corresponding email.</x:v>
      </x:c>
      <x:c r="H160" s="19" t="str">
        <x:v>Brings specialized operational actions into the place where requests arrive.</x:v>
      </x:c>
      <x:c r="I160" s="19" t="str">
        <x:v>Released / rolling out</x:v>
      </x:c>
      <x:c r="J160" s="19" t="str">
        <x:v>Relevant Microsoft 365 Copilot entitlement; announcement does not fully specify licensing
Tenant availability and applicable admin policy must be checked</x:v>
      </x:c>
      <x:c r="K160" s="19" t="str">
        <x:v>2026-08</x:v>
      </x:c>
      <x:c r="L160" s="25" t="str">
        <x:f>IFERROR(HYPERLINK("https://techcommunity.microsoft.com/blog/microsoft-copilot-blog/what%E2%80%99s-new-in-microsoft-copilot--august-2026/4551960","What’s New in Microsoft Copilot | August 2026"),"What’s New in Microsoft Copilot | August 2026")</x:f>
        <x:v>What’s New in Microsoft Copilot | August 2026</x:v>
      </x:c>
      <x:c r="M160" s="25" t="str"/>
      <x:c r="N160" s="20" t="d">
        <x:v>2026-08-31T00:00:00.000Z</x:v>
      </x:c>
      <x:c r="O160" s="20" t="d">
        <x:v>2026-10-16T00:00:00.000Z</x:v>
      </x:c>
      <x:c r="P160" s="24" t="str">
        <x:v>COP-36656D8E5F</x:v>
      </x:c>
      <x:c r="Q160" s="19" t="str">
        <x:v>Released / rolling out</x:v>
      </x:c>
      <x:c r="R160" s="19" t="str">
        <x:v>Custom engine agents are distinct from declarative-agent classic Outlook integration.</x:v>
      </x:c>
      <x:c r="S160" s="19" t="str"/>
      <x:c r="T160" s="19" t="str"/>
      <x:c r="U160" s="20" t="d">
        <x:v>2026-08-31T00:00:00.000Z</x:v>
      </x:c>
    </x:row>
    <x:row r="161" ht="70" customHeight="1">
      <x:c r="A161" s="21" t="d">
        <x:v>2026-08-31T00:00:00.000Z</x:v>
      </x:c>
      <x:c r="B161" s="19" t="str">
        <x:v>Source report date. Frontier preview. Availability precision: Month only</x:v>
      </x:c>
      <x:c r="C161" s="19" t="str">
        <x:v>Planner Agent</x:v>
      </x:c>
      <x:c r="D161" s="19" t="str">
        <x:v>Configurable status reports</x:v>
      </x:c>
      <x:c r="E161" s="19" t="str">
        <x:v>Produces audience-tailored plan reports.</x:v>
      </x:c>
      <x:c r="F161" s="23" t="str">
        <x:v>Medium</x:v>
      </x:c>
      <x:c r="G161" s="19" t="str">
        <x:v>Draft an executive update with risks and next steps, then verify task status.</x:v>
      </x:c>
      <x:c r="H161" s="19" t="str">
        <x:v>Reduces recurring stakeholder-update preparation from project task data.</x:v>
      </x:c>
      <x:c r="I161" s="19" t="str">
        <x:v>Frontier preview</x:v>
      </x:c>
      <x:c r="J161" s="19" t="str">
        <x:v>Relevant Microsoft 365 Copilot entitlement; announcement does not fully specify licensing
Tenant availability and applicable admin policy must be checked</x:v>
      </x:c>
      <x:c r="K161" s="19" t="str">
        <x:v>2026-08</x:v>
      </x:c>
      <x:c r="L161" s="25" t="str">
        <x:f>IFERROR(HYPERLINK("https://techcommunity.microsoft.com/blog/microsoft-copilot-blog/what%E2%80%99s-new-in-microsoft-copilot--august-2026/4551960","What’s New in Microsoft Copilot | August 2026"),"What’s New in Microsoft Copilot | August 2026")</x:f>
        <x:v>What’s New in Microsoft Copilot | August 2026</x:v>
      </x:c>
      <x:c r="M161" s="25" t="str"/>
      <x:c r="N161" s="20" t="d">
        <x:v>2026-08-31T00:00:00.000Z</x:v>
      </x:c>
      <x:c r="O161" s="20" t="d">
        <x:v>2026-10-16T00:00:00.000Z</x:v>
      </x:c>
      <x:c r="P161" s="24" t="str">
        <x:v>COP-E437B34FA8</x:v>
      </x:c>
      <x:c r="Q161" s="19" t="str">
        <x:v>Frontier preview</x:v>
      </x:c>
      <x:c r="R161" s="19"/>
      <x:c r="S161" s="19" t="str"/>
      <x:c r="T161" s="19"/>
      <x:c r="U161" s="20" t="d">
        <x:v>2026-08-31T00:00:00.000Z</x:v>
      </x:c>
    </x:row>
    <x:row r="162" ht="70" customHeight="1">
      <x:c r="A162" s="21" t="d">
        <x:v>2026-08-31T00:00:00.000Z</x:v>
      </x:c>
      <x:c r="B162" s="19" t="str">
        <x:v>Source report date. Released / rolling out. Availability precision: Month only</x:v>
      </x:c>
      <x:c r="C162" s="19" t="str">
        <x:v>PowerPoint</x:v>
      </x:c>
      <x:c r="D162" s="19" t="str">
        <x:v>Comment task assignment</x:v>
      </x:c>
      <x:c r="E162" s="19" t="str">
        <x:v>Assign follow-ups and notify stakeholders.</x:v>
      </x:c>
      <x:c r="F162" s="23" t="str">
        <x:v>Medium</x:v>
      </x:c>
      <x:c r="G162" s="19" t="str">
        <x:v>Turn a reviewer comment into an assigned revision task.</x:v>
      </x:c>
      <x:c r="H162" s="19" t="str">
        <x:v>Closes the gap between slide feedback and accountable follow-up.</x:v>
      </x:c>
      <x:c r="I162" s="19" t="str">
        <x:v>Released / rolling out</x:v>
      </x:c>
      <x:c r="J162" s="19" t="str">
        <x:v>Relevant Microsoft 365 Copilot entitlement; announcement does not fully specify licensing
Tenant availability and applicable admin policy must be checked</x:v>
      </x:c>
      <x:c r="K162" s="19" t="str">
        <x:v>2026-08</x:v>
      </x:c>
      <x:c r="L162" s="25" t="str">
        <x:f>IFERROR(HYPERLINK("https://techcommunity.microsoft.com/blog/microsoft-copilot-blog/what%E2%80%99s-new-in-microsoft-copilot--august-2026/4551960","What’s New in Microsoft Copilot | August 2026"),"What’s New in Microsoft Copilot | August 2026")</x:f>
        <x:v>What’s New in Microsoft Copilot | August 2026</x:v>
      </x:c>
      <x:c r="M162" s="25" t="str"/>
      <x:c r="N162" s="20" t="d">
        <x:v>2026-08-31T00:00:00.000Z</x:v>
      </x:c>
      <x:c r="O162" s="20" t="d">
        <x:v>2026-10-16T00:00:00.000Z</x:v>
      </x:c>
      <x:c r="P162" s="24" t="str">
        <x:v>COP-7F5BC6F468</x:v>
      </x:c>
      <x:c r="Q162" s="19" t="str">
        <x:v>Released / rolling out</x:v>
      </x:c>
      <x:c r="R162" s="19" t="str">
        <x:v>July roundup planned August; August roundup confirms rollout. Distinct from July write/reply/resolve comments.</x:v>
      </x:c>
      <x:c r="S162" s="19" t="str"/>
      <x:c r="T162" s="19" t="str"/>
      <x:c r="U162" s="20" t="d">
        <x:v>2026-08-31T00:00:00.000Z</x:v>
      </x:c>
    </x:row>
    <x:row r="163" ht="70" customHeight="1">
      <x:c r="A163" s="21" t="d">
        <x:v>2026-08-31T00:00:00.000Z</x:v>
      </x:c>
      <x:c r="B163" s="19" t="str">
        <x:v>Source report date. Frontier preview. Availability precision: Month only</x:v>
      </x:c>
      <x:c r="C163" s="19" t="str">
        <x:v>PowerPoint</x:v>
      </x:c>
      <x:c r="D163" s="19" t="str">
        <x:v>On-brand SmartArt editing</x:v>
      </x:c>
      <x:c r="E163" s="19" t="str">
        <x:v>Conversational diagram editing enters Frontier.</x:v>
      </x:c>
      <x:c r="F163" s="23" t="str">
        <x:v>Medium</x:v>
      </x:c>
      <x:c r="G163" s="19" t="str">
        <x:v>Revise an organization chart while checking brand consistency.</x:v>
      </x:c>
      <x:c r="H163" s="19" t="str">
        <x:v>Reduces manual diagram adjustments, though preview access limits immediate reach.</x:v>
      </x:c>
      <x:c r="I163" s="19" t="str">
        <x:v>Frontier preview</x:v>
      </x:c>
      <x:c r="J163" s="19" t="str">
        <x:v>Relevant Microsoft 365 Copilot entitlement; announcement does not fully specify licensing
Tenant availability and applicable admin policy must be checked</x:v>
      </x:c>
      <x:c r="K163" s="19" t="str">
        <x:v>2026-08</x:v>
      </x:c>
      <x:c r="L163" s="25" t="str">
        <x:f>IFERROR(HYPERLINK("https://techcommunity.microsoft.com/blog/microsoft-copilot-blog/what%E2%80%99s-new-in-microsoft-copilot--august-2026/4551960","What’s New in Microsoft Copilot | August 2026"),"What’s New in Microsoft Copilot | August 2026")</x:f>
        <x:v>What’s New in Microsoft Copilot | August 2026</x:v>
      </x:c>
      <x:c r="M163" s="25" t="str"/>
      <x:c r="N163" s="20" t="d">
        <x:v>2026-08-31T00:00:00.000Z</x:v>
      </x:c>
      <x:c r="O163" s="20" t="d">
        <x:v>2026-10-16T00:00:00.000Z</x:v>
      </x:c>
      <x:c r="P163" s="24" t="str">
        <x:v>COP-FFFDD3C56C</x:v>
      </x:c>
      <x:c r="Q163" s="19" t="str">
        <x:v>Frontier preview</x:v>
      </x:c>
      <x:c r="R163" s="19" t="str"/>
      <x:c r="S163" s="19" t="str"/>
      <x:c r="T163" s="19" t="str"/>
      <x:c r="U163" s="20" t="d">
        <x:v>2026-08-31T00:00:00.000Z</x:v>
      </x:c>
    </x:row>
    <x:row r="164" ht="64" customHeight="1">
      <x:c r="A164" s="21" t="d">
        <x:v>2026-08-31T00:00:00.000Z</x:v>
      </x:c>
      <x:c r="B164" s="19" t="str">
        <x:v>Source report date. Released. Availability precision: Month only</x:v>
      </x:c>
      <x:c r="C164" s="19" t="str">
        <x:v>PowerPoint</x:v>
      </x:c>
      <x:c r="D164" s="19" t="str">
        <x:v>Strict brand adherence</x:v>
      </x:c>
      <x:c r="E164" s="19" t="str">
        <x:v>Restrict generation to approved layouts and placeholders.</x:v>
      </x:c>
      <x:c r="F164" s="23" t="str">
        <x:v>Medium</x:v>
      </x:c>
      <x:c r="G164" s="19" t="str">
        <x:v>Make branded customer decks more predictable and reduce design-review churn.</x:v>
      </x:c>
      <x:c r="H164" s="19" t="str">
        <x:v>Reduces off-brand output and the rework required before a deck can be externally shared.</x:v>
      </x:c>
      <x:c r="I164" s="19" t="str">
        <x:v>Released</x:v>
      </x:c>
      <x:c r="J164" s="19" t="str">
        <x:v>Microsoft 365 Copilot; confirm tenant entitlement
Brand Kit owner/manager controls; users cannot override</x:v>
      </x:c>
      <x:c r="K164" s="19" t="str">
        <x:v>2026-08</x:v>
      </x:c>
      <x:c r="L164" s="25" t="str">
        <x:f>IFERROR(HYPERLINK("https://techcommunity.microsoft.com/blog/microsoft-copilot-blog/what%E2%80%99s-new-in-microsoft-copilot--august-2026/4551960","What’s New in Microsoft Copilot | August 2026"),"What’s New in Microsoft Copilot | August 2026")</x:f>
        <x:v>What’s New in Microsoft Copilot | August 2026</x:v>
      </x:c>
      <x:c r="M164" s="25" t="str">
        <x:f>IFERROR(HYPERLINK("https://support.microsoft.com/en-us/powerpoint/copilot/manage-brand-kit-template-settings-in-powerpoint","Additional Microsoft source"),"Additional Microsoft source")</x:f>
        <x:v>Additional Microsoft source</x:v>
      </x:c>
      <x:c r="N164" s="20" t="d">
        <x:v>2026-08-31T00:00:00.000Z</x:v>
      </x:c>
      <x:c r="O164" s="20" t="d">
        <x:v>2026-10-16T00:00:00.000Z</x:v>
      </x:c>
      <x:c r="P164" s="24" t="str">
        <x:v>COP-0380D643A2</x:v>
      </x:c>
      <x:c r="Q164" s="19" t="str">
        <x:v>Released</x:v>
      </x:c>
      <x:c r="R164" s="19" t="str">
        <x:v>August31 roundup explicitly confirms August rollout; support article verifies behavior.</x:v>
      </x:c>
      <x:c r="S164" s="19" t="str"/>
      <x:c r="T164" s="19" t="str"/>
      <x:c r="U164" s="20" t="d">
        <x:v>2026-08-31T00:00:00.000Z</x:v>
      </x:c>
    </x:row>
    <x:row r="165" ht="64" customHeight="1">
      <x:c r="A165" s="21" t="d">
        <x:v>2026-08-31T00:00:00.000Z</x:v>
      </x:c>
      <x:c r="B165" s="19" t="str">
        <x:v>Source report date. Released. Availability precision: Month only</x:v>
      </x:c>
      <x:c r="C165" s="19" t="str">
        <x:v>PowerPoint</x:v>
      </x:c>
      <x:c r="D165" s="19" t="str">
        <x:v>Template note instructions</x:v>
      </x:c>
      <x:c r="E165" s="19" t="str">
        <x:v>Persistent per-slide guidance directs generation.</x:v>
      </x:c>
      <x:c r="F165" s="23" t="str">
        <x:v>Medium</x:v>
      </x:c>
      <x:c r="G165" s="19" t="str">
        <x:v>Embed required slide treatment once instead of restating brand instructions in every prompt.</x:v>
      </x:c>
      <x:c r="H165" s="19" t="str">
        <x:v>Lets a template encode reusable authoring guidance instead of relying on every presenter to remember it.</x:v>
      </x:c>
      <x:c r="I165" s="19" t="str">
        <x:v>Released</x:v>
      </x:c>
      <x:c r="J165" s="19" t="str">
        <x:v>Microsoft 365 Copilot; confirm tenant entitlement
Brand Kit templates</x:v>
      </x:c>
      <x:c r="K165" s="19" t="str">
        <x:v>2026-08</x:v>
      </x:c>
      <x:c r="L165" s="25" t="str">
        <x:f>IFERROR(HYPERLINK("https://techcommunity.microsoft.com/blog/microsoft-copilot-blog/what%E2%80%99s-new-in-microsoft-copilot--august-2026/4551960","What’s New in Microsoft Copilot | August 2026"),"What’s New in Microsoft Copilot | August 2026")</x:f>
        <x:v>What’s New in Microsoft Copilot | August 2026</x:v>
      </x:c>
      <x:c r="M165" s="25" t="str">
        <x:f>IFERROR(HYPERLINK("https://support.microsoft.com/en-us/powerpoint/copilot/manage-brand-kit-template-settings-in-powerpoint","Additional Microsoft source"),"Additional Microsoft source")</x:f>
        <x:v>Additional Microsoft source</x:v>
      </x:c>
      <x:c r="N165" s="20" t="d">
        <x:v>2026-08-31T00:00:00.000Z</x:v>
      </x:c>
      <x:c r="O165" s="20" t="d">
        <x:v>2026-10-16T00:00:00.000Z</x:v>
      </x:c>
      <x:c r="P165" s="24" t="str">
        <x:v>COP-E816ABECBF</x:v>
      </x:c>
      <x:c r="Q165" s="19" t="str">
        <x:v>Released</x:v>
      </x:c>
      <x:c r="R165" s="19" t="str">
        <x:v>August31 roundup explicitly confirms August rollout; support article verifies behavior.</x:v>
      </x:c>
      <x:c r="S165" s="19" t="str"/>
      <x:c r="T165" s="19" t="str"/>
      <x:c r="U165" s="20" t="d">
        <x:v>2026-08-31T00:00:00.000Z</x:v>
      </x:c>
    </x:row>
    <x:row r="166" ht="70" customHeight="1">
      <x:c r="A166" s="21" t="d">
        <x:v>2026-08-31T00:00:00.000Z</x:v>
      </x:c>
      <x:c r="B166" s="19" t="str">
        <x:v>Source report date. Released / rolling out. Availability precision: Month only</x:v>
      </x:c>
      <x:c r="C166" s="19" t="str">
        <x:v>PowerPoint</x:v>
      </x:c>
      <x:c r="D166" s="19" t="str">
        <x:v>Translation with layout resizing</x:v>
      </x:c>
      <x:c r="E166" s="19" t="str">
        <x:v>Translation moves to Copilot with resizing.</x:v>
      </x:c>
      <x:c r="F166" s="23" t="str">
        <x:v>Medium</x:v>
      </x:c>
      <x:c r="G166" s="19" t="str">
        <x:v>Translate a client deck, then review text fit and terminology.</x:v>
      </x:c>
      <x:c r="H166" s="19" t="str">
        <x:v>Can reduce layout repair after translating decks into longer text.</x:v>
      </x:c>
      <x:c r="I166" s="19" t="str">
        <x:v>Released / rolling out</x:v>
      </x:c>
      <x:c r="J166" s="19" t="str">
        <x:v>Relevant Microsoft 365 Copilot entitlement; announcement does not fully specify licensing
Tenant availability and applicable admin policy must be checked</x:v>
      </x:c>
      <x:c r="K166" s="19" t="str">
        <x:v>2026-08</x:v>
      </x:c>
      <x:c r="L166" s="25" t="str">
        <x:f>IFERROR(HYPERLINK("https://techcommunity.microsoft.com/blog/microsoft-copilot-blog/what%E2%80%99s-new-in-microsoft-copilot--august-2026/4551960","What’s New in Microsoft Copilot | August 2026"),"What’s New in Microsoft Copilot | August 2026")</x:f>
        <x:v>What’s New in Microsoft Copilot | August 2026</x:v>
      </x:c>
      <x:c r="M166" s="25" t="str"/>
      <x:c r="N166" s="20" t="d">
        <x:v>2026-08-31T00:00:00.000Z</x:v>
      </x:c>
      <x:c r="O166" s="20" t="d">
        <x:v>2026-10-16T00:00:00.000Z</x:v>
      </x:c>
      <x:c r="P166" s="24" t="str">
        <x:v>COP-851E2E5F01</x:v>
      </x:c>
      <x:c r="Q166" s="19" t="str">
        <x:v>Released / rolling out</x:v>
      </x:c>
      <x:c r="R166" s="19"/>
      <x:c r="S166" s="19" t="str"/>
      <x:c r="T166" s="19" t="str"/>
      <x:c r="U166" s="20" t="d">
        <x:v>2026-08-31T00:00:00.000Z</x:v>
      </x:c>
    </x:row>
    <x:row r="167" ht="70" customHeight="1">
      <x:c r="A167" s="21" t="d">
        <x:v>2026-08-31T00:00:00.000Z</x:v>
      </x:c>
      <x:c r="B167" s="19" t="str">
        <x:v>Source report date. Released / rolling out. Availability precision: Month only</x:v>
      </x:c>
      <x:c r="C167" s="19" t="str">
        <x:v>Teams</x:v>
      </x:c>
      <x:c r="D167" s="19" t="str">
        <x:v>Recap translation</x:v>
      </x:c>
      <x:c r="E167" s="19" t="str">
        <x:v>Change a meeting recap’s language after generation.</x:v>
      </x:c>
      <x:c r="F167" s="23" t="str">
        <x:v>Medium</x:v>
      </x:c>
      <x:c r="G167" s="19" t="str">
        <x:v>Share a usable recap across multilingual project teams without manual translation.</x:v>
      </x:c>
      <x:c r="H167" s="19" t="str">
        <x:v>Helps multilingual teams use meeting summaries without a separate translation step.</x:v>
      </x:c>
      <x:c r="I167" s="19" t="str">
        <x:v>Released / rolling out</x:v>
      </x:c>
      <x:c r="J167" s="19" t="str">
        <x:v>Microsoft 365 Copilot; confirm tenant entitlement
Not specified in announcement; verify tenant availability</x:v>
      </x:c>
      <x:c r="K167" s="19" t="str">
        <x:v>2026-08</x:v>
      </x:c>
      <x:c r="L167" s="25" t="str">
        <x:f>IFERROR(HYPERLINK("https://techcommunity.microsoft.com/blog/microsoft-copilot-blog/what%E2%80%99s-new-in-microsoft-copilot--august-2026/4551960","What’s New in Microsoft Copilot | August 2026"),"What’s New in Microsoft Copilot | August 2026")</x:f>
        <x:v>What’s New in Microsoft Copilot | August 2026</x:v>
      </x:c>
      <x:c r="M167" s="25" t="str"/>
      <x:c r="N167" s="20" t="d">
        <x:v>2026-08-31T00:00:00.000Z</x:v>
      </x:c>
      <x:c r="O167" s="20" t="d">
        <x:v>2026-10-16T00:00:00.000Z</x:v>
      </x:c>
      <x:c r="P167" s="24" t="str">
        <x:v>COP-6597DB675B</x:v>
      </x:c>
      <x:c r="Q167" s="19" t="str">
        <x:v>Released / rolling out</x:v>
      </x:c>
      <x:c r="R167" s="19"/>
      <x:c r="S167" s="19" t="str"/>
      <x:c r="T167" s="19"/>
      <x:c r="U167" s="20" t="d">
        <x:v>2026-08-31T00:00:00.000Z</x:v>
      </x:c>
    </x:row>
    <x:row r="168" ht="70" customHeight="1">
      <x:c r="A168" s="21" t="d">
        <x:v>2026-08-31T00:00:00.000Z</x:v>
      </x:c>
      <x:c r="B168" s="19" t="str">
        <x:v>Source report date. Released / rolling out. Availability precision: Month only</x:v>
      </x:c>
      <x:c r="C168" s="19" t="str">
        <x:v>Word</x:v>
      </x:c>
      <x:c r="D168" s="19" t="str">
        <x:v>Hyperlink insertion</x:v>
      </x:c>
      <x:c r="E168" s="19" t="str">
        <x:v>Insert and format links through Copilot.</x:v>
      </x:c>
      <x:c r="F168" s="23" t="str">
        <x:v>Low</x:v>
      </x:c>
      <x:c r="G168" s="19" t="str">
        <x:v>Add reference links to a brief with fewer manual editing steps.</x:v>
      </x:c>
      <x:c r="H168" s="19" t="str">
        <x:v>Saves a small editing step and improves navigation in drafted documents.</x:v>
      </x:c>
      <x:c r="I168" s="19" t="str">
        <x:v>Released / rolling out</x:v>
      </x:c>
      <x:c r="J168" s="19" t="str">
        <x:v>Microsoft 365 Copilot; confirm tenant entitlement
Not specified in announcement; verify tenant availability</x:v>
      </x:c>
      <x:c r="K168" s="19" t="str">
        <x:v>2026-08</x:v>
      </x:c>
      <x:c r="L168" s="25" t="str">
        <x:f>IFERROR(HYPERLINK("https://techcommunity.microsoft.com/blog/microsoft-copilot-blog/what%E2%80%99s-new-in-microsoft-copilot--august-2026/4551960","What’s New in Microsoft Copilot | August 2026"),"What’s New in Microsoft Copilot | August 2026")</x:f>
        <x:v>What’s New in Microsoft Copilot | August 2026</x:v>
      </x:c>
      <x:c r="M168" s="25" t="str"/>
      <x:c r="N168" s="20" t="d">
        <x:v>2026-08-31T00:00:00.000Z</x:v>
      </x:c>
      <x:c r="O168" s="20" t="d">
        <x:v>2026-10-16T00:00:00.000Z</x:v>
      </x:c>
      <x:c r="P168" s="24" t="str">
        <x:v>COP-E787CF5B20</x:v>
      </x:c>
      <x:c r="Q168" s="19" t="str">
        <x:v>Released / rolling out</x:v>
      </x:c>
      <x:c r="R168" s="19"/>
      <x:c r="S168" s="19" t="str"/>
      <x:c r="T168" s="19"/>
      <x:c r="U168" s="20" t="d">
        <x:v>2026-08-31T00:00:00.000Z</x:v>
      </x:c>
    </x:row>
    <x:row r="169" ht="70" customHeight="1">
      <x:c r="A169" s="21" t="d">
        <x:v>2026-08-31T00:00:00.000Z</x:v>
      </x:c>
      <x:c r="B169" s="19" t="str">
        <x:v>Source report date. Released / rolling out. Availability precision: Month only</x:v>
      </x:c>
      <x:c r="C169" s="19" t="str">
        <x:v>Word</x:v>
      </x:c>
      <x:c r="D169" s="19" t="str">
        <x:v>Reference-image understanding</x:v>
      </x:c>
      <x:c r="E169" s="19" t="str">
        <x:v>Use visual content from referenced documents.</x:v>
      </x:c>
      <x:c r="F169" s="23" t="str">
        <x:v>Medium</x:v>
      </x:c>
      <x:c r="G169" s="19" t="str">
        <x:v>Draft from materials containing diagrams or screenshots instead of relying only on extracted text.</x:v>
      </x:c>
      <x:c r="H169" s="19" t="str">
        <x:v>Expands the usable evidence for drafting when source material contains diagrams or screenshots.</x:v>
      </x:c>
      <x:c r="I169" s="19" t="str">
        <x:v>Released / rolling out</x:v>
      </x:c>
      <x:c r="J169" s="19" t="str">
        <x:v>Microsoft 365 Copilot; confirm tenant entitlement
Not specified in announcement; verify tenant availability</x:v>
      </x:c>
      <x:c r="K169" s="19" t="str">
        <x:v>2026-08</x:v>
      </x:c>
      <x:c r="L169" s="25" t="str">
        <x:f>IFERROR(HYPERLINK("https://techcommunity.microsoft.com/blog/microsoft-copilot-blog/what%E2%80%99s-new-in-microsoft-copilot--august-2026/4551960","What’s New in Microsoft Copilot | August 2026"),"What’s New in Microsoft Copilot | August 2026")</x:f>
        <x:v>What’s New in Microsoft Copilot | August 2026</x:v>
      </x:c>
      <x:c r="M169" s="25" t="str"/>
      <x:c r="N169" s="20" t="d">
        <x:v>2026-08-31T00:00:00.000Z</x:v>
      </x:c>
      <x:c r="O169" s="20" t="d">
        <x:v>2026-10-16T00:00:00.000Z</x:v>
      </x:c>
      <x:c r="P169" s="24" t="str">
        <x:v>COP-62FFB09CB3</x:v>
      </x:c>
      <x:c r="Q169" s="19" t="str">
        <x:v>Released / rolling out</x:v>
      </x:c>
      <x:c r="R169" s="19"/>
      <x:c r="S169" s="19"/>
      <x:c r="T169" s="19"/>
      <x:c r="U169" s="20" t="d">
        <x:v>2026-08-31T00:00:00.000Z</x:v>
      </x:c>
    </x:row>
    <x:row r="170" ht="70" customHeight="1">
      <x:c r="A170" s="21" t="d">
        <x:v>2026-08-31T00:00:00.000Z</x:v>
      </x:c>
      <x:c r="B170" s="19" t="str">
        <x:v>Source report date. Released / rolling out. Availability precision: Month only</x:v>
      </x:c>
      <x:c r="C170" s="19" t="str">
        <x:v>Word</x:v>
      </x:c>
      <x:c r="D170" s="19" t="str">
        <x:v>Word-level edit highlights</x:v>
      </x:c>
      <x:c r="E170" s="19" t="str">
        <x:v>Review changed words rather than whole paragraphs.</x:v>
      </x:c>
      <x:c r="F170" s="23" t="str">
        <x:v>Medium</x:v>
      </x:c>
      <x:c r="G170" s="19" t="str">
        <x:v>Inspect small contractual or messaging edits more quickly and accurately.</x:v>
      </x:c>
      <x:c r="H170" s="19" t="str">
        <x:v>Makes review more focused by exposing the specific text changed by AI.</x:v>
      </x:c>
      <x:c r="I170" s="19" t="str">
        <x:v>Released / rolling out</x:v>
      </x:c>
      <x:c r="J170" s="19" t="str">
        <x:v>Microsoft 365 Copilot; confirm tenant entitlement
Not specified in announcement; verify tenant availability</x:v>
      </x:c>
      <x:c r="K170" s="19" t="str">
        <x:v>2026-08</x:v>
      </x:c>
      <x:c r="L170" s="25" t="str">
        <x:f>IFERROR(HYPERLINK("https://techcommunity.microsoft.com/blog/microsoft-copilot-blog/what%E2%80%99s-new-in-microsoft-copilot--august-2026/4551960","What’s New in Microsoft Copilot | August 2026"),"What’s New in Microsoft Copilot | August 2026")</x:f>
        <x:v>What’s New in Microsoft Copilot | August 2026</x:v>
      </x:c>
      <x:c r="M170" s="25" t="str"/>
      <x:c r="N170" s="20" t="d">
        <x:v>2026-08-31T00:00:00.000Z</x:v>
      </x:c>
      <x:c r="O170" s="20" t="d">
        <x:v>2026-10-16T00:00:00.000Z</x:v>
      </x:c>
      <x:c r="P170" s="24" t="str">
        <x:v>COP-892F6566DB</x:v>
      </x:c>
      <x:c r="Q170" s="19" t="str">
        <x:v>Released / rolling out</x:v>
      </x:c>
      <x:c r="R170" s="19"/>
      <x:c r="S170" s="19"/>
      <x:c r="T170" s="19"/>
      <x:c r="U170" s="20" t="d">
        <x:v>2026-08-31T00:00:00.000Z</x:v>
      </x:c>
    </x:row>
    <x:row r="171" ht="70" customHeight="1">
      <x:c r="A171" s="21" t="d">
        <x:v>2026-08-25T00:00:00.000Z</x:v>
      </x:c>
      <x:c r="B171" s="19" t="str">
        <x:v>Source report date. General-release milestone. Availability precision: Window</x:v>
      </x:c>
      <x:c r="C171" s="19" t="str">
        <x:v>Copilot app</x:v>
      </x:c>
      <x:c r="D171" s="19" t="str">
        <x:v>Interface refresh</x:v>
      </x:c>
      <x:c r="E171" s="19" t="str">
        <x:v>The Copilot web and desktop apps receive revised chat-home, response and navigation layouts.</x:v>
      </x:c>
      <x:c r="F171" s="23" t="str">
        <x:v>Low</x:v>
      </x:c>
      <x:c r="G171" s="19" t="str">
        <x:v>Expect updated locations and layouts when maintaining internal how-to guides or screenshots.</x:v>
      </x:c>
      <x:c r="H171" s="19" t="str">
        <x:v>Primarily changes navigation and presentation.</x:v>
      </x:c>
      <x:c r="I171" s="19" t="str">
        <x:v>Generally available / staged rollout</x:v>
      </x:c>
      <x:c r="J171" s="19" t="str">
        <x:v>Unconfirmed; entry does not specify entitlement
Windows, Mac, Web; regions unconfirmed</x:v>
      </x:c>
      <x:c r="K171" s="19" t="str">
        <x:v>2026-08-11 to 2026-08-25</x:v>
      </x:c>
      <x:c r="L171" s="25" t="str">
        <x:f>IFERROR(HYPERLINK("https://learn.microsoft.com/en-us/microsoft-365/copilot/release-notes#august-25-2026","Microsoft 365 Copilot release notes"),"Microsoft 365 Copilot release notes")</x:f>
        <x:v>Microsoft 365 Copilot release notes</x:v>
      </x:c>
      <x:c r="M171" s="25" t="str"/>
      <x:c r="N171" s="20" t="d">
        <x:v>2026-08-25T00:00:00.000Z</x:v>
      </x:c>
      <x:c r="O171" s="20" t="d">
        <x:v>2026-10-16T00:00:00.000Z</x:v>
      </x:c>
      <x:c r="P171" s="24" t="str">
        <x:v>COP-22B2829504</x:v>
      </x:c>
      <x:c r="Q171" s="19" t="str">
        <x:v>General-release milestone</x:v>
      </x:c>
      <x:c r="R171" s="19" t="str">
        <x:v>Release-note batch gives a general-release window, not an exact first-launch date. Tenant rollout can be staged.</x:v>
      </x:c>
      <x:c r="S171" s="19" t="str"/>
      <x:c r="T171" s="19" t="str">
        <x:v>561488</x:v>
      </x:c>
      <x:c r="U171" s="20" t="d">
        <x:v>2026-08-25T00:00:00.000Z</x:v>
      </x:c>
    </x:row>
    <x:row r="172" ht="70" customHeight="1">
      <x:c r="A172" s="21" t="d">
        <x:v>2026-08-25T00:00:00.000Z</x:v>
      </x:c>
      <x:c r="B172" s="19" t="str">
        <x:v>Source report date. General-release milestone. Availability precision: Window</x:v>
      </x:c>
      <x:c r="C172" s="19" t="str">
        <x:v>Copilot Chat</x:v>
      </x:c>
      <x:c r="D172" s="19" t="str">
        <x:v>Email viewer</x:v>
      </x:c>
      <x:c r="E172" s="19" t="str">
        <x:v>Full-app Copilot experiences can open Outlook messages within the chat interface for inspection and reference.</x:v>
      </x:c>
      <x:c r="F172" s="23" t="str">
        <x:v>Low</x:v>
      </x:c>
      <x:c r="G172" s="19" t="str">
        <x:v>Inspect a cited message during research without losing your place in the chat.</x:v>
      </x:c>
      <x:c r="H172" s="19" t="str">
        <x:v>Reduces context switching for a common evidence check.</x:v>
      </x:c>
      <x:c r="I172" s="19" t="str">
        <x:v>Generally available / staged rollout</x:v>
      </x:c>
      <x:c r="J172" s="19" t="str">
        <x:v>Unconfirmed; entry does not specify entitlement
Windows, Mac, Web; regions unconfirmed</x:v>
      </x:c>
      <x:c r="K172" s="19" t="str">
        <x:v>2026-08-11 to 2026-08-25</x:v>
      </x:c>
      <x:c r="L172" s="25" t="str">
        <x:f>IFERROR(HYPERLINK("https://learn.microsoft.com/en-us/microsoft-365/copilot/release-notes#august-25-2026","Microsoft 365 Copilot release notes"),"Microsoft 365 Copilot release notes")</x:f>
        <x:v>Microsoft 365 Copilot release notes</x:v>
      </x:c>
      <x:c r="M172" s="25" t="str"/>
      <x:c r="N172" s="20" t="d">
        <x:v>2026-08-25T00:00:00.000Z</x:v>
      </x:c>
      <x:c r="O172" s="20" t="d">
        <x:v>2026-10-16T00:00:00.000Z</x:v>
      </x:c>
      <x:c r="P172" s="24" t="str">
        <x:v>COP-60F69C57D1</x:v>
      </x:c>
      <x:c r="Q172" s="19" t="str">
        <x:v>General-release milestone</x:v>
      </x:c>
      <x:c r="R172" s="19" t="str">
        <x:v>Release-note batch gives a general-release window, not an exact first-launch date. Tenant rollout can be staged.</x:v>
      </x:c>
      <x:c r="S172" s="19" t="str"/>
      <x:c r="T172" s="19"/>
      <x:c r="U172" s="20" t="d">
        <x:v>2026-08-25T00:00:00.000Z</x:v>
      </x:c>
    </x:row>
    <x:row r="173" ht="70" customHeight="1">
      <x:c r="A173" s="21" t="d">
        <x:v>2026-08-25T00:00:00.000Z</x:v>
      </x:c>
      <x:c r="B173" s="19" t="str">
        <x:v>Source report date. GA release-note batch. Availability precision: Window / relative timing</x:v>
      </x:c>
      <x:c r="C173" s="19" t="str">
        <x:v>Copilot Chat</x:v>
      </x:c>
      <x:c r="D173" s="19" t="str">
        <x:v>Unified Work IQ switch</x:v>
      </x:c>
      <x:c r="E173" s="19" t="str">
        <x:v>Toggle work-data access in chat.</x:v>
      </x:c>
      <x:c r="F173" s="23" t="str">
        <x:v>Medium</x:v>
      </x:c>
      <x:c r="G173" s="19" t="str">
        <x:v>Keep one conversation while consciously selecting the scope of organizational data.</x:v>
      </x:c>
      <x:c r="H173" s="19" t="str">
        <x:v>Clarifies whether a conversation should use organizational context, improving user control over grounding.</x:v>
      </x:c>
      <x:c r="I173" s="19" t="str">
        <x:v>GA release-note batch</x:v>
      </x:c>
      <x:c r="J173" s="19" t="str">
        <x:v>Microsoft 365 Copilot; confirm tenant entitlement
Windows, web</x:v>
      </x:c>
      <x:c r="K173" s="19" t="str">
        <x:v>2026-08-11 to 2026-08-25</x:v>
      </x:c>
      <x:c r="L173" s="25" t="str">
        <x:f>IFERROR(HYPERLINK("https://learn.microsoft.com/en-us/microsoft-365/copilot/release-notes","Microsoft 365 Copilot release notes"),"Microsoft 365 Copilot release notes")</x:f>
        <x:v>Microsoft 365 Copilot release notes</x:v>
      </x:c>
      <x:c r="M173" s="25" t="str"/>
      <x:c r="N173" s="20" t="d">
        <x:v>2026-08-25T00:00:00.000Z</x:v>
      </x:c>
      <x:c r="O173" s="20" t="d">
        <x:v>2026-10-16T00:00:00.000Z</x:v>
      </x:c>
      <x:c r="P173" s="24" t="str">
        <x:v>COP-52FDE81A36</x:v>
      </x:c>
      <x:c r="Q173" s="19" t="str">
        <x:v>GA release-note batch</x:v>
      </x:c>
      <x:c r="R173" s="19" t="str">
        <x:v>August25 release batch.</x:v>
      </x:c>
      <x:c r="S173" s="19" t="str"/>
      <x:c r="T173" s="19" t="str"/>
      <x:c r="U173" s="20" t="d">
        <x:v>2026-08-25T00:00:00.000Z</x:v>
      </x:c>
    </x:row>
    <x:row r="174" ht="70" customHeight="1">
      <x:c r="A174" s="21" t="d">
        <x:v>2026-08-25T00:00:00.000Z</x:v>
      </x:c>
      <x:c r="B174" s="19" t="str">
        <x:v>Source report date. General-release milestone. Availability precision: Window</x:v>
      </x:c>
      <x:c r="C174" s="19" t="str">
        <x:v>Copilot Chat / Viva Engage</x:v>
      </x:c>
      <x:c r="D174" s="19" t="str">
        <x:v>Private-community grounding</x:v>
      </x:c>
      <x:c r="E174" s="19" t="str">
        <x:v>Copilot can ground answers in accessible private Viva Engage communities and events while respecting the user’s existing permissions.</x:v>
      </x:c>
      <x:c r="F174" s="23" t="str">
        <x:v>Medium</x:v>
      </x:c>
      <x:c r="G174" s="19" t="str">
        <x:v>Include discussions from an accessible private project community when compiling a work summary.</x:v>
      </x:c>
      <x:c r="H174" s="19" t="str">
        <x:v>Broadens relevant evidence while retaining source access boundaries.</x:v>
      </x:c>
      <x:c r="I174" s="19" t="str">
        <x:v>Generally available / staged rollout</x:v>
      </x:c>
      <x:c r="J174" s="19" t="str">
        <x:v>Unconfirmed; entry does not specify entitlement
Web; regions unconfirmed</x:v>
      </x:c>
      <x:c r="K174" s="19" t="str">
        <x:v>2026-08-11 to 2026-08-25</x:v>
      </x:c>
      <x:c r="L174" s="25" t="str">
        <x:f>IFERROR(HYPERLINK("https://learn.microsoft.com/en-us/microsoft-365/copilot/release-notes#august-25-2026","Microsoft 365 Copilot release notes"),"Microsoft 365 Copilot release notes")</x:f>
        <x:v>Microsoft 365 Copilot release notes</x:v>
      </x:c>
      <x:c r="M174" s="25"/>
      <x:c r="N174" s="20" t="d">
        <x:v>2026-08-25T00:00:00.000Z</x:v>
      </x:c>
      <x:c r="O174" s="20" t="d">
        <x:v>2026-10-16T00:00:00.000Z</x:v>
      </x:c>
      <x:c r="P174" s="24" t="str">
        <x:v>COP-9F723DD9D9</x:v>
      </x:c>
      <x:c r="Q174" s="19" t="str">
        <x:v>General-release milestone</x:v>
      </x:c>
      <x:c r="R174" s="19" t="str">
        <x:v>Release-note batch gives a general-release window, not an exact first-launch date. Tenant rollout can be staged.</x:v>
      </x:c>
      <x:c r="S174" s="19" t="str"/>
      <x:c r="T174" s="19" t="str">
        <x:v>515144</x:v>
      </x:c>
      <x:c r="U174" s="20" t="d">
        <x:v>2026-08-25T00:00:00.000Z</x:v>
      </x:c>
    </x:row>
    <x:row r="175" ht="70" customHeight="1">
      <x:c r="A175" s="21" t="d">
        <x:v>2026-08-25T00:00:00.000Z</x:v>
      </x:c>
      <x:c r="B175" s="19" t="str">
        <x:v>Source report date. General-release milestone. Availability precision: Window</x:v>
      </x:c>
      <x:c r="C175" s="19" t="str">
        <x:v>Copilot mobile / Pages</x:v>
      </x:c>
      <x:c r="D175" s="19" t="str">
        <x:v>Page commands</x:v>
      </x:c>
      <x:c r="E175" s="19" t="str">
        <x:v>Mobile Copilot commands can create Pages from chat and revise existing page content.</x:v>
      </x:c>
      <x:c r="F175" s="23" t="str">
        <x:v>Medium</x:v>
      </x:c>
      <x:c r="G175" s="19" t="str">
        <x:v>Turn mobile notes into a page and shorten the draft before returning to a larger screen.</x:v>
      </x:c>
      <x:c r="H175" s="19" t="str">
        <x:v>Enables meaningful content work from a phone.</x:v>
      </x:c>
      <x:c r="I175" s="19" t="str">
        <x:v>Generally available / staged rollout</x:v>
      </x:c>
      <x:c r="J175" s="19" t="str">
        <x:v>Unconfirmed; entry does not specify entitlement
Android, iOS; regions unconfirmed</x:v>
      </x:c>
      <x:c r="K175" s="19" t="str">
        <x:v>2026-08-11 to 2026-08-25</x:v>
      </x:c>
      <x:c r="L175" s="25" t="str">
        <x:f>IFERROR(HYPERLINK("https://learn.microsoft.com/en-us/microsoft-365/copilot/release-notes#august-25-2026","Microsoft 365 Copilot release notes"),"Microsoft 365 Copilot release notes")</x:f>
        <x:v>Microsoft 365 Copilot release notes</x:v>
      </x:c>
      <x:c r="M175" s="25" t="str"/>
      <x:c r="N175" s="20" t="d">
        <x:v>2026-08-25T00:00:00.000Z</x:v>
      </x:c>
      <x:c r="O175" s="20" t="d">
        <x:v>2026-10-16T00:00:00.000Z</x:v>
      </x:c>
      <x:c r="P175" s="24" t="str">
        <x:v>COP-45FA0A7171</x:v>
      </x:c>
      <x:c r="Q175" s="19" t="str">
        <x:v>General-release milestone</x:v>
      </x:c>
      <x:c r="R175" s="19" t="str">
        <x:v>Release-note batch gives a general-release window, not an exact first-launch date. Tenant rollout can be staged.</x:v>
      </x:c>
      <x:c r="S175" s="19" t="str"/>
      <x:c r="T175" s="19" t="str"/>
      <x:c r="U175" s="20" t="d">
        <x:v>2026-08-25T00:00:00.000Z</x:v>
      </x:c>
    </x:row>
    <x:row r="176" ht="70" customHeight="1">
      <x:c r="A176" s="21" t="d">
        <x:v>2026-08-25T00:00:00.000Z</x:v>
      </x:c>
      <x:c r="B176" s="19" t="str">
        <x:v>Source report date. Released / rolling out. Availability precision: Month only</x:v>
      </x:c>
      <x:c r="C176" s="19" t="str">
        <x:v>Excel</x:v>
      </x:c>
      <x:c r="D176" s="19" t="str">
        <x:v>Chart design skill</x:v>
      </x:c>
      <x:c r="E176" s="19" t="str">
        <x:v>Reusable chart styling guidance improves visualizations.</x:v>
      </x:c>
      <x:c r="F176" s="23" t="str">
        <x:v>Medium</x:v>
      </x:c>
      <x:c r="G176" s="19" t="str">
        <x:v>Apply a consistent chart treatment across recurring performance reports.</x:v>
      </x:c>
      <x:c r="H176" s="19" t="str">
        <x:v>Reduces manual visualization editing, especially for recurring reporting packs.</x:v>
      </x:c>
      <x:c r="I176" s="19" t="str">
        <x:v>Released / rolling out</x:v>
      </x:c>
      <x:c r="J176" s="19" t="str">
        <x:v>Microsoft 365 Copilot; confirm tenant entitlement
Windows, Mac, web</x:v>
      </x:c>
      <x:c r="K176" s="19" t="str">
        <x:v>2026-08</x:v>
      </x:c>
      <x:c r="L176" s="25" t="str">
        <x:f>IFERROR(HYPERLINK("https://techcommunity.microsoft.com/blog/excelblog/whats-new-in-excel-august-2026/4527283","What’s New in Excel (August 2026)"),"What’s New in Excel (August 2026)")</x:f>
        <x:v>What’s New in Excel (August 2026)</x:v>
      </x:c>
      <x:c r="M176" s="25" t="str"/>
      <x:c r="N176" s="20" t="d">
        <x:v>2026-08-25T00:00:00.000Z</x:v>
      </x:c>
      <x:c r="O176" s="20" t="d">
        <x:v>2026-10-16T00:00:00.000Z</x:v>
      </x:c>
      <x:c r="P176" s="24" t="str">
        <x:v>COP-B52D3692EF</x:v>
      </x:c>
      <x:c r="Q176" s="19" t="str">
        <x:v>Released / rolling out</x:v>
      </x:c>
      <x:c r="R176" s="19"/>
      <x:c r="S176" s="19" t="str"/>
      <x:c r="T176" s="19" t="str"/>
      <x:c r="U176" s="20" t="d">
        <x:v>2026-08-25T00:00:00.000Z</x:v>
      </x:c>
    </x:row>
    <x:row r="177" ht="70" customHeight="1">
      <x:c r="A177" s="21" t="d">
        <x:v>2026-08-25T00:00:00.000Z</x:v>
      </x:c>
      <x:c r="B177" s="19" t="str">
        <x:v>Source report date. Released / rolling out. Availability precision: Month only</x:v>
      </x:c>
      <x:c r="C177" s="19" t="str">
        <x:v>Excel</x:v>
      </x:c>
      <x:c r="D177" s="19" t="str">
        <x:v>Persistent chat history</x:v>
      </x:c>
      <x:c r="E177" s="19" t="str">
        <x:v>Reopen earlier Copilot conversations.</x:v>
      </x:c>
      <x:c r="F177" s="23" t="str">
        <x:v>Medium</x:v>
      </x:c>
      <x:c r="G177" s="19" t="str">
        <x:v>Resume the reasoning behind a forecast after a review meeting instead of reconstructing prompts.</x:v>
      </x:c>
      <x:c r="H177" s="19" t="str">
        <x:v>Preserves analysis context across sessions rather than forcing users to reconstruct previous requests.</x:v>
      </x:c>
      <x:c r="I177" s="19" t="str">
        <x:v>Released / rolling out</x:v>
      </x:c>
      <x:c r="J177" s="19" t="str">
        <x:v>Microsoft 365 Copilot commercial license
Windows, Mac, web</x:v>
      </x:c>
      <x:c r="K177" s="19" t="str">
        <x:v>2026-08</x:v>
      </x:c>
      <x:c r="L177" s="25" t="str">
        <x:f>IFERROR(HYPERLINK("https://techcommunity.microsoft.com/blog/excelblog/whats-new-in-excel-august-2026/4527283","What’s New in Excel (August 2026)"),"What’s New in Excel (August 2026)")</x:f>
        <x:v>What’s New in Excel (August 2026)</x:v>
      </x:c>
      <x:c r="M177" s="25" t="str"/>
      <x:c r="N177" s="20" t="d">
        <x:v>2026-08-25T00:00:00.000Z</x:v>
      </x:c>
      <x:c r="O177" s="20" t="d">
        <x:v>2026-10-16T00:00:00.000Z</x:v>
      </x:c>
      <x:c r="P177" s="24" t="str">
        <x:v>COP-D7C546760A</x:v>
      </x:c>
      <x:c r="Q177" s="19" t="str">
        <x:v>Released / rolling out</x:v>
      </x:c>
      <x:c r="R177" s="19"/>
      <x:c r="S177" s="19" t="str"/>
      <x:c r="T177" s="19"/>
      <x:c r="U177" s="20" t="d">
        <x:v>2026-08-25T00:00:00.000Z</x:v>
      </x:c>
    </x:row>
    <x:row r="178" ht="70" customHeight="1">
      <x:c r="A178" s="21" t="d">
        <x:v>2026-08-25T00:00:00.000Z</x:v>
      </x:c>
      <x:c r="B178" s="19" t="str">
        <x:v>Source report date. Released / rolling out. Availability precision: Month only</x:v>
      </x:c>
      <x:c r="C178" s="19" t="str">
        <x:v>Excel</x:v>
      </x:c>
      <x:c r="D178" s="19" t="str">
        <x:v>PivotTable skills</x:v>
      </x:c>
      <x:c r="E178" s="19" t="str">
        <x:v>Create and organize PivotTables through Copilot.</x:v>
      </x:c>
      <x:c r="F178" s="23" t="str">
        <x:v>Medium</x:v>
      </x:c>
      <x:c r="G178" s="19" t="str">
        <x:v>Turn raw operational records into repeatable management breakdowns with less spreadsheet setup.</x:v>
      </x:c>
      <x:c r="H178" s="19" t="str">
        <x:v>Lowers friction in a common analytical workflow while users retain responsibility for aggregation correctness.</x:v>
      </x:c>
      <x:c r="I178" s="19" t="str">
        <x:v>Released / rolling out</x:v>
      </x:c>
      <x:c r="J178" s="19" t="str">
        <x:v>Microsoft 365 Copilot; confirm tenant entitlement
Windows, Mac, web</x:v>
      </x:c>
      <x:c r="K178" s="19" t="str">
        <x:v>2026-08</x:v>
      </x:c>
      <x:c r="L178" s="25" t="str">
        <x:f>IFERROR(HYPERLINK("https://techcommunity.microsoft.com/blog/excelblog/whats-new-in-excel-august-2026/4527283","What’s New in Excel (August 2026)"),"What’s New in Excel (August 2026)")</x:f>
        <x:v>What’s New in Excel (August 2026)</x:v>
      </x:c>
      <x:c r="M178" s="25" t="str"/>
      <x:c r="N178" s="20" t="d">
        <x:v>2026-08-25T00:00:00.000Z</x:v>
      </x:c>
      <x:c r="O178" s="20" t="d">
        <x:v>2026-10-16T00:00:00.000Z</x:v>
      </x:c>
      <x:c r="P178" s="24" t="str">
        <x:v>COP-4E4735FBCF</x:v>
      </x:c>
      <x:c r="Q178" s="19" t="str">
        <x:v>Released / rolling out</x:v>
      </x:c>
      <x:c r="R178" s="19"/>
      <x:c r="S178" s="19" t="str"/>
      <x:c r="T178" s="19"/>
      <x:c r="U178" s="20" t="d">
        <x:v>2026-08-25T00:00:00.000Z</x:v>
      </x:c>
    </x:row>
    <x:row r="179" ht="70" customHeight="1">
      <x:c r="A179" s="21" t="d">
        <x:v>2026-08-25T00:00:00.000Z</x:v>
      </x:c>
      <x:c r="B179" s="19" t="str">
        <x:v>Source report date. Insiders / status conflict. Availability precision: Month only</x:v>
      </x:c>
      <x:c r="C179" s="19" t="str">
        <x:v>Excel</x:v>
      </x:c>
      <x:c r="D179" s="19" t="str">
        <x:v>Python editing skill</x:v>
      </x:c>
      <x:c r="E179" s="19" t="str">
        <x:v>Generate refreshable Python formulas inside workbooks.</x:v>
      </x:c>
      <x:c r="F179" s="23" t="str">
        <x:v>High</x:v>
      </x:c>
      <x:c r="G179" s="19" t="str">
        <x:v>Run richer analysis while keeping calculations and results with the workbook.</x:v>
      </x:c>
      <x:c r="H179" s="19" t="str">
        <x:v>Enables more complex analytical transformations within a familiar spreadsheet workflow.</x:v>
      </x:c>
      <x:c r="I179" s="19" t="str">
        <x:v>Insiders / status conflict</x:v>
      </x:c>
      <x:c r="J179" s="19" t="str">
        <x:v>Eligible Copilot and Python in Excel entitlement
Windows, Mac, web; verify release channel</x:v>
      </x:c>
      <x:c r="K179" s="19" t="str">
        <x:v>2026-08</x:v>
      </x:c>
      <x:c r="L179" s="25" t="str">
        <x:f>IFERROR(HYPERLINK("https://techcommunity.microsoft.com/blog/excelblog/whats-new-in-excel-august-2026/4527283","What’s New in Excel (August 2026)"),"What’s New in Excel (August 2026)")</x:f>
        <x:v>What’s New in Excel (August 2026)</x:v>
      </x:c>
      <x:c r="M179" s="25" t="str"/>
      <x:c r="N179" s="20" t="d">
        <x:v>2026-08-25T00:00:00.000Z</x:v>
      </x:c>
      <x:c r="O179" s="20" t="d">
        <x:v>2026-10-16T00:00:00.000Z</x:v>
      </x:c>
      <x:c r="P179" s="24" t="str">
        <x:v>COP-109B47D176</x:v>
      </x:c>
      <x:c r="Q179" s="19" t="str">
        <x:v>Insiders / status conflict</x:v>
      </x:c>
      <x:c r="R179" s="19" t="str">
        <x:v>August 25 Excel blog labels Python skill Insiders; same-date general Copilot release notes list Python editing. Treat access as channel-dependent.</x:v>
      </x:c>
      <x:c r="S179" s="19" t="str"/>
      <x:c r="T179" s="19"/>
      <x:c r="U179" s="20" t="d">
        <x:v>2026-08-25T00:00:00.000Z</x:v>
      </x:c>
    </x:row>
    <x:row r="180" ht="70" customHeight="1">
      <x:c r="A180" s="21" t="d">
        <x:v>2026-08-25T00:00:00.000Z</x:v>
      </x:c>
      <x:c r="B180" s="19" t="str">
        <x:v>Source report date. General-release milestone. Availability precision: Window</x:v>
      </x:c>
      <x:c r="C180" s="19" t="str">
        <x:v>Outlook classic</x:v>
      </x:c>
      <x:c r="D180" s="19" t="str">
        <x:v>Meeting scheduling</x:v>
      </x:c>
      <x:c r="E180" s="19" t="str">
        <x:v>Classic Outlook can coordinate a meeting from chat, including availability, rooms, agenda drafting and invitations.</x:v>
      </x:c>
      <x:c r="F180" s="23" t="str">
        <x:v>High</x:v>
      </x:c>
      <x:c r="G180" s="19" t="str">
        <x:v>Organize a project review with the relevant attendees, room, and agenda from a conversation.</x:v>
      </x:c>
      <x:c r="H180" s="19" t="str">
        <x:v>Combines several scheduling steps into one assisted workflow.</x:v>
      </x:c>
      <x:c r="I180" s="19" t="str">
        <x:v>Generally available / staged rollout</x:v>
      </x:c>
      <x:c r="J180" s="19" t="str">
        <x:v>Microsoft 365 Copilot license
Windows; regions unconfirmed</x:v>
      </x:c>
      <x:c r="K180" s="19" t="str">
        <x:v>2026-08-11 to 2026-08-25</x:v>
      </x:c>
      <x:c r="L180" s="25" t="str">
        <x:f>IFERROR(HYPERLINK("https://learn.microsoft.com/en-us/microsoft-365/copilot/release-notes#august-25-2026","Microsoft 365 Copilot release notes"),"Microsoft 365 Copilot release notes")</x:f>
        <x:v>Microsoft 365 Copilot release notes</x:v>
      </x:c>
      <x:c r="M180" s="25" t="str"/>
      <x:c r="N180" s="20" t="d">
        <x:v>2026-08-25T00:00:00.000Z</x:v>
      </x:c>
      <x:c r="O180" s="20" t="d">
        <x:v>2026-10-16T00:00:00.000Z</x:v>
      </x:c>
      <x:c r="P180" s="24" t="str">
        <x:v>COP-12B57CDBF5</x:v>
      </x:c>
      <x:c r="Q180" s="19" t="str">
        <x:v>General-release milestone</x:v>
      </x:c>
      <x:c r="R180" s="19" t="str">
        <x:v>Release-note batch gives a general-release window, not an exact first-launch date. Tenant rollout can be staged.</x:v>
      </x:c>
      <x:c r="S180" s="19" t="str"/>
      <x:c r="T180" s="19" t="str">
        <x:v>542185</x:v>
      </x:c>
      <x:c r="U180" s="20" t="d">
        <x:v>2026-08-25T00:00:00.000Z</x:v>
      </x:c>
    </x:row>
    <x:row r="181" ht="70" customHeight="1">
      <x:c r="A181" s="21" t="d">
        <x:v>2026-08-25T00:00:00.000Z</x:v>
      </x:c>
      <x:c r="B181" s="19" t="str">
        <x:v>Source report date. General-release milestone. Availability precision: Window</x:v>
      </x:c>
      <x:c r="C181" s="19" t="str">
        <x:v>PowerPoint</x:v>
      </x:c>
      <x:c r="D181" s="19" t="str">
        <x:v>Email grounding</x:v>
      </x:c>
      <x:c r="E181" s="19" t="str">
        <x:v>PowerPoint on Windows can use an Outlook email as a reference for generating a presentation.</x:v>
      </x:c>
      <x:c r="F181" s="23" t="str">
        <x:v>Medium</x:v>
      </x:c>
      <x:c r="G181" s="19" t="str">
        <x:v>Start a presentation from a stakeholder’s email brief rather than manually copying the requirements.</x:v>
      </x:c>
      <x:c r="H181" s="19" t="str">
        <x:v>Adds a frequently used business source to deck creation.</x:v>
      </x:c>
      <x:c r="I181" s="19" t="str">
        <x:v>Generally available / staged rollout</x:v>
      </x:c>
      <x:c r="J181" s="19" t="str">
        <x:v>Unconfirmed; entry does not specify entitlement
Windows; regions unconfirmed</x:v>
      </x:c>
      <x:c r="K181" s="19" t="str">
        <x:v>2026-08-11 to 2026-08-25</x:v>
      </x:c>
      <x:c r="L181" s="25" t="str">
        <x:f>IFERROR(HYPERLINK("https://learn.microsoft.com/en-us/microsoft-365/copilot/release-notes#august-25-2026","Microsoft 365 Copilot release notes"),"Microsoft 365 Copilot release notes")</x:f>
        <x:v>Microsoft 365 Copilot release notes</x:v>
      </x:c>
      <x:c r="M181" s="25" t="str"/>
      <x:c r="N181" s="20" t="d">
        <x:v>2026-08-25T00:00:00.000Z</x:v>
      </x:c>
      <x:c r="O181" s="20" t="d">
        <x:v>2026-10-16T00:00:00.000Z</x:v>
      </x:c>
      <x:c r="P181" s="24" t="str">
        <x:v>COP-8FC62D0FF2</x:v>
      </x:c>
      <x:c r="Q181" s="19" t="str">
        <x:v>General-release milestone</x:v>
      </x:c>
      <x:c r="R181" s="19" t="str">
        <x:v>Release-note batch gives a general-release window, not an exact first-launch date. Tenant rollout can be staged.</x:v>
      </x:c>
      <x:c r="S181" s="19" t="str"/>
      <x:c r="T181" s="19" t="str">
        <x:v>555888</x:v>
      </x:c>
      <x:c r="U181" s="20" t="d">
        <x:v>2026-08-25T00:00:00.000Z</x:v>
      </x:c>
    </x:row>
    <x:row r="182" ht="85" customHeight="1">
      <x:c r="A182" s="21" t="d">
        <x:v>2026-08-25T00:00:00.000Z</x:v>
      </x:c>
      <x:c r="B182" s="19" t="str">
        <x:v>Source report date. General-release milestone. Availability precision: Window</x:v>
      </x:c>
      <x:c r="C182" s="19" t="str">
        <x:v>PowerPoint Live</x:v>
      </x:c>
      <x:c r="D182" s="19" t="str">
        <x:v>Slide-text explanations for attendees — general-release milestone</x:v>
      </x:c>
      <x:c r="E182" s="19" t="str">
        <x:v>PowerPoint Live attendees can select slide text and request an explanation from Copilot during the meeting.</x:v>
      </x:c>
      <x:c r="F182" s="23" t="str">
        <x:v>Medium</x:v>
      </x:c>
      <x:c r="G182" s="19" t="str">
        <x:v>Clarify a technical passage during a presentation without asking the speaker to repeat the entire slide.</x:v>
      </x:c>
      <x:c r="H182" s="19" t="str">
        <x:v>Supports audience understanding during live collaboration.</x:v>
      </x:c>
      <x:c r="I182" s="19" t="str">
        <x:v>Generally available / staged rollout</x:v>
      </x:c>
      <x:c r="J182" s="19" t="str">
        <x:v>Unconfirmed; entry does not specify entitlement
Windows; regions unconfirmed</x:v>
      </x:c>
      <x:c r="K182" s="19" t="str">
        <x:v>2026-08-11 to 2026-08-25</x:v>
      </x:c>
      <x:c r="L182" s="25" t="str">
        <x:f>IFERROR(HYPERLINK("https://learn.microsoft.com/en-us/microsoft-365/copilot/release-notes#august-25-2026","Microsoft 365 Copilot release notes"),"Microsoft 365 Copilot release notes")</x:f>
        <x:v>Microsoft 365 Copilot release notes</x:v>
      </x:c>
      <x:c r="M182" s="25" t="str"/>
      <x:c r="N182" s="20" t="d">
        <x:v>2026-08-25T00:00:00.000Z</x:v>
      </x:c>
      <x:c r="O182" s="20" t="d">
        <x:v>2026-10-16T00:00:00.000Z</x:v>
      </x:c>
      <x:c r="P182" s="24" t="str">
        <x:v>COP-29041184F3</x:v>
      </x:c>
      <x:c r="Q182" s="19" t="str">
        <x:v>Availability milestone</x:v>
      </x:c>
      <x:c r="R182" s="19" t="str">
        <x:v>The release-note batch describes a window, not an exact first-launch date. Tenant rollout can be staged. May documentation described planned slide-text explanations. The August batch provides general-release evidence. Earlier related record: Slide-text explanations for attendees (2026-05-29).</x:v>
      </x:c>
      <x:c r="S182" s="19" t="str">
        <x:v>COP-3F01638028</x:v>
      </x:c>
      <x:c r="T182" s="19" t="str">
        <x:v>557256</x:v>
      </x:c>
      <x:c r="U182" s="20" t="d">
        <x:v>2026-08-25T00:00:00.000Z</x:v>
      </x:c>
    </x:row>
    <x:row r="183" ht="85" customHeight="1">
      <x:c r="A183" s="21" t="d">
        <x:v>2026-08-25T00:00:00.000Z</x:v>
      </x:c>
      <x:c r="B183" s="19" t="str">
        <x:v>Source report date. General-release milestone. Availability precision: Window</x:v>
      </x:c>
      <x:c r="C183" s="19" t="str">
        <x:v>Word</x:v>
      </x:c>
      <x:c r="D183" s="19" t="str">
        <x:v>Read-aloud questions</x:v>
      </x:c>
      <x:c r="E183" s="19" t="str">
        <x:v>During Word Read Aloud on Windows, users can ask spoken questions about the document and receive answers in context.</x:v>
      </x:c>
      <x:c r="F183" s="23" t="str">
        <x:v>Medium</x:v>
      </x:c>
      <x:c r="G183" s="19" t="str">
        <x:v>Ask about an unclear section while listening to a draft, then verify the explanation against the text.</x:v>
      </x:c>
      <x:c r="H183" s="19" t="str">
        <x:v>Adds an accessible review mode that supports comprehension.</x:v>
      </x:c>
      <x:c r="I183" s="19" t="str">
        <x:v>Generally available / staged rollout</x:v>
      </x:c>
      <x:c r="J183" s="19" t="str">
        <x:v>Unconfirmed; entry does not specify entitlement
Windows; regions unconfirmed</x:v>
      </x:c>
      <x:c r="K183" s="19" t="str">
        <x:v>2026-08-11 to 2026-08-25</x:v>
      </x:c>
      <x:c r="L183" s="25" t="str">
        <x:f>IFERROR(HYPERLINK("https://learn.microsoft.com/en-us/microsoft-365/copilot/release-notes#august-25-2026","Microsoft 365 Copilot release notes"),"Microsoft 365 Copilot release notes")</x:f>
        <x:v>Microsoft 365 Copilot release notes</x:v>
      </x:c>
      <x:c r="M183" s="25" t="str"/>
      <x:c r="N183" s="20" t="d">
        <x:v>2026-08-25T00:00:00.000Z</x:v>
      </x:c>
      <x:c r="O183" s="20" t="d">
        <x:v>2026-10-16T00:00:00.000Z</x:v>
      </x:c>
      <x:c r="P183" s="24" t="str">
        <x:v>COP-5794E2A279</x:v>
      </x:c>
      <x:c r="Q183" s="19" t="str">
        <x:v>General-release milestone</x:v>
      </x:c>
      <x:c r="R183" s="19" t="str">
        <x:v>The release-note batch describes a window, not an exact first-launch date. Tenant rollout can be staged. The earlier record covers web audio overviews. This record specifically covers questions during Windows Read Aloud. Earlier related record: Conversational Word audio overviews (2026-07-01).</x:v>
      </x:c>
      <x:c r="S183" s="19" t="str">
        <x:v>COP-43DB6B7D6E</x:v>
      </x:c>
      <x:c r="T183" s="19" t="str">
        <x:v>523205</x:v>
      </x:c>
      <x:c r="U183" s="20" t="d">
        <x:v>2026-08-25T00:00:00.000Z</x:v>
      </x:c>
    </x:row>
    <x:row r="184" ht="85" customHeight="1">
      <x:c r="A184" s="21" t="d">
        <x:v>2026-08-25T00:00:00.000Z</x:v>
      </x:c>
      <x:c r="B184" s="19" t="str">
        <x:v>Source report date. General-release milestone. Availability precision: Window</x:v>
      </x:c>
      <x:c r="C184" s="19" t="str">
        <x:v>Word</x:v>
      </x:c>
      <x:c r="D184" s="19" t="str">
        <x:v>Sonnet 5</x:v>
      </x:c>
      <x:c r="E184" s="19" t="str">
        <x:v>Word’s web Copilot model menu includes Sonnet 5, with a higher default reasoning setting for drafting and editing.</x:v>
      </x:c>
      <x:c r="F184" s="23" t="str">
        <x:v>Medium</x:v>
      </x:c>
      <x:c r="G184" s="19" t="str">
        <x:v>Re-test a representative drafting task before assuming the changed model behavior suits existing review standards.</x:v>
      </x:c>
      <x:c r="H184" s="19" t="str">
        <x:v>Can alter output quality and latency; the source offers no measured guarantee.</x:v>
      </x:c>
      <x:c r="I184" s="19" t="str">
        <x:v>Generally available / staged rollout</x:v>
      </x:c>
      <x:c r="J184" s="19" t="str">
        <x:v>Unconfirmed; entry does not specify entitlement
Web; regions unconfirmed</x:v>
      </x:c>
      <x:c r="K184" s="19" t="str">
        <x:v>2026-08-11 to 2026-08-25</x:v>
      </x:c>
      <x:c r="L184" s="25" t="str">
        <x:f>IFERROR(HYPERLINK("https://learn.microsoft.com/en-us/microsoft-365/copilot/release-notes#august-25-2026","Microsoft 365 Copilot release notes"),"Microsoft 365 Copilot release notes")</x:f>
        <x:v>Microsoft 365 Copilot release notes</x:v>
      </x:c>
      <x:c r="M184" s="25" t="str"/>
      <x:c r="N184" s="20" t="d">
        <x:v>2026-08-25T00:00:00.000Z</x:v>
      </x:c>
      <x:c r="O184" s="20" t="d">
        <x:v>2026-10-16T00:00:00.000Z</x:v>
      </x:c>
      <x:c r="P184" s="24" t="str">
        <x:v>COP-736D6250C5</x:v>
      </x:c>
      <x:c r="Q184" s="19" t="str">
        <x:v>General-release milestone</x:v>
      </x:c>
      <x:c r="R184" s="19" t="str">
        <x:v>Release-note batch gives a general-release window, not an exact first-launch date. Tenant rollout can be staged. Specific Sonnet 5 reasoning-default change; separate from the earlier ability to choose Anthropic models and later Sonnet 5.5 rollout.</x:v>
      </x:c>
      <x:c r="S184" s="19" t="str"/>
      <x:c r="T184" s="19"/>
      <x:c r="U184" s="20" t="d">
        <x:v>2026-08-25T00:00:00.000Z</x:v>
      </x:c>
    </x:row>
    <x:row r="185" ht="70" customHeight="1">
      <x:c r="A185" s="21" t="d">
        <x:v>2026-08-25T00:00:00.000Z</x:v>
      </x:c>
      <x:c r="B185" s="19" t="str">
        <x:v>Source report date. General-release milestone. Availability precision: Window</x:v>
      </x:c>
      <x:c r="C185" s="19" t="str">
        <x:v>Work IQ</x:v>
      </x:c>
      <x:c r="D185" s="19" t="str">
        <x:v>REST entrypoint</x:v>
      </x:c>
      <x:c r="E185" s="19" t="str">
        <x:v>A Work IQ REST endpoint provides a common interface for invoking agents and workflows.</x:v>
      </x:c>
      <x:c r="F185" s="23" t="str">
        <x:v>High</x:v>
      </x:c>
      <x:c r="G185" s="19" t="str">
        <x:v>An integration team can design against a shared invocation interface instead of separate legacy chat endpoints.</x:v>
      </x:c>
      <x:c r="H185" s="19" t="str">
        <x:v>Affects how reusable business integrations are engineered.</x:v>
      </x:c>
      <x:c r="I185" s="19" t="str">
        <x:v>Generally available / staged rollout</x:v>
      </x:c>
      <x:c r="J185" s="19" t="str">
        <x:v>Unconfirmed; entry does not specify entitlement
Developer, Web; regions unconfirmed</x:v>
      </x:c>
      <x:c r="K185" s="19" t="str">
        <x:v>2026-08-11 to 2026-08-25</x:v>
      </x:c>
      <x:c r="L185" s="25" t="str">
        <x:f>IFERROR(HYPERLINK("https://learn.microsoft.com/en-us/microsoft-365/copilot/release-notes#august-25-2026","Microsoft 365 Copilot release notes"),"Microsoft 365 Copilot release notes")</x:f>
        <x:v>Microsoft 365 Copilot release notes</x:v>
      </x:c>
      <x:c r="M185" s="25" t="str"/>
      <x:c r="N185" s="20" t="d">
        <x:v>2026-08-25T00:00:00.000Z</x:v>
      </x:c>
      <x:c r="O185" s="20" t="d">
        <x:v>2026-10-16T00:00:00.000Z</x:v>
      </x:c>
      <x:c r="P185" s="24" t="str">
        <x:v>COP-0DCD25BA2D</x:v>
      </x:c>
      <x:c r="Q185" s="19" t="str">
        <x:v>General-release milestone</x:v>
      </x:c>
      <x:c r="R185" s="19" t="str">
        <x:v>Release-note batch gives a general-release window, not an exact first-launch date. Tenant rollout can be staged.</x:v>
      </x:c>
      <x:c r="S185" s="19" t="str"/>
      <x:c r="T185" s="19" t="str">
        <x:v>559021</x:v>
      </x:c>
      <x:c r="U185" s="20" t="d">
        <x:v>2026-08-25T00:00:00.000Z</x:v>
      </x:c>
    </x:row>
    <x:row r="186" ht="85" customHeight="1">
      <x:c r="A186" s="21" t="d">
        <x:v>2026-08-17T00:00:00.000Z</x:v>
      </x:c>
      <x:c r="B186" s="19" t="str">
        <x:v>Stated effective date. Preview enhancement. Availability precision: Exact day</x:v>
      </x:c>
      <x:c r="C186" s="19" t="str">
        <x:v>Teams Phone Agent</x:v>
      </x:c>
      <x:c r="D186" s="19" t="str">
        <x:v>Automatic recording controls</x:v>
      </x:c>
      <x:c r="E186" s="19" t="str">
        <x:v>Configure recording through PowerShell.</x:v>
      </x:c>
      <x:c r="F186" s="23" t="str">
        <x:v>Medium</x:v>
      </x:c>
      <x:c r="G186" s="19" t="str">
        <x:v>Support reviewed call-quality workflows where recording is lawful and approved.</x:v>
      </x:c>
      <x:c r="H186" s="19" t="str">
        <x:v>Makes recording policy configurable but requires careful consent, retention, and privacy handling.</x:v>
      </x:c>
      <x:c r="I186" s="19" t="str">
        <x:v>Preview enhancement</x:v>
      </x:c>
      <x:c r="J186" s="19" t="str">
        <x:v>Teams Phone prerequisites plus usage-based billing in Copilot Credits; funded spending policy required
Not supported in India; admin and telephony prerequisites apply. Without configured policy or credits, falls back to Auto Attendant.</x:v>
      </x:c>
      <x:c r="K186" s="19" t="str">
        <x:v>2026-08-17</x:v>
      </x:c>
      <x:c r="L186" s="25" t="str">
        <x:f>IFERROR(HYPERLINK("https://learn.microsoft.com/en-us/microsoftteams/aa-cq-setup-teams-phone-agent","Setup - Teams Phone Agent"),"Setup - Teams Phone Agent")</x:f>
        <x:v>Setup - Teams Phone Agent</x:v>
      </x:c>
      <x:c r="M186" s="25" t="str"/>
      <x:c r="N186" s="20" t="d">
        <x:v>2026-08-17T00:00:00.000Z</x:v>
      </x:c>
      <x:c r="O186" s="20" t="d">
        <x:v>2026-10-16T00:00:00.000Z</x:v>
      </x:c>
      <x:c r="P186" s="24" t="str">
        <x:v>COP-79892035D7</x:v>
      </x:c>
      <x:c r="Q186" s="19" t="str">
        <x:v>Preview enhancement</x:v>
      </x:c>
      <x:c r="R186" s="19" t="str">
        <x:v>Date is the explicit dated changelog entry in the setup article, not an inferred page publication date.</x:v>
      </x:c>
      <x:c r="S186" s="19" t="str"/>
      <x:c r="T186" s="19" t="str"/>
      <x:c r="U186" s="20" t="d">
        <x:v>2026-08-17T00:00:00.000Z</x:v>
      </x:c>
    </x:row>
    <x:row r="187" ht="85" customHeight="1">
      <x:c r="A187" s="21" t="d">
        <x:v>2026-08-13T00:00:00.000Z</x:v>
      </x:c>
      <x:c r="B187" s="19" t="str">
        <x:v>Stated effective date. GA. Availability precision: Exact day</x:v>
      </x:c>
      <x:c r="C187" s="19" t="str">
        <x:v>Copilot Notebooks</x:v>
      </x:c>
      <x:c r="D187" s="19" t="str">
        <x:v>Markdown, TXT, RTF sources</x:v>
      </x:c>
      <x:c r="E187" s="19" t="str">
        <x:v>Add text-based documentation and transcripts as references.</x:v>
      </x:c>
      <x:c r="F187" s="23" t="str">
        <x:v>Medium</x:v>
      </x:c>
      <x:c r="G187" s="19" t="str">
        <x:v>Include system notes, interview transcripts, and working documentation in project synthesis.</x:v>
      </x:c>
      <x:c r="H187" s="19" t="str">
        <x:v>Makes lightweight notes and exported reference material usable without conversion to Office formats.</x:v>
      </x:c>
      <x:c r="I187" s="19" t="str">
        <x:v>GA</x:v>
      </x:c>
      <x:c r="J187" s="19" t="str">
        <x:v>Copilot Notebooks entitlement; paid Microsoft 365 Copilot or eligible Copilot Chat. SharePoint/OneDrive plan needed to create notebooks.
Copilot app and OneNote; tenant rollout may vary</x:v>
      </x:c>
      <x:c r="K187" s="19" t="str">
        <x:v>2026-08-13</x:v>
      </x:c>
      <x:c r="L187" s="25" t="str">
        <x:f>IFERROR(HYPERLINK("https://techcommunity.microsoft.com/blog/microsoft365copilotblog/copilot-notebooks-now-works-with-markdown-plain-text-and-rich-text-files/4545652","Copilot Notebooks now works with Markdown, plain-text, and rich-text files"),"Copilot Notebooks now works with Markdown, plain-text, and rich-text files")</x:f>
        <x:v>Copilot Notebooks now works with Markdown, plain-text, and rich-text files</x:v>
      </x:c>
      <x:c r="M187" s="25" t="str">
        <x:f>IFERROR(HYPERLINK("https://support.microsoft.com/en-us/microsoft-365-copilot/copilot-notebooks-licensing","Additional Microsoft source"),"Additional Microsoft source")</x:f>
        <x:v>Additional Microsoft source</x:v>
      </x:c>
      <x:c r="N187" s="20" t="d">
        <x:v>2026-08-13T00:00:00.000Z</x:v>
      </x:c>
      <x:c r="O187" s="20" t="d">
        <x:v>2026-10-16T00:00:00.000Z</x:v>
      </x:c>
      <x:c r="P187" s="24" t="str">
        <x:v>COP-81D6D8A576</x:v>
      </x:c>
      <x:c r="Q187" s="19" t="str">
        <x:v>GA</x:v>
      </x:c>
      <x:c r="R187" s="19" t="str">
        <x:v>TXT/RTF described as July rollout; Markdown targeted August. August 13 dedicated post confirms expanded support. July31 roundup says TXT/RTF inJuly and Markdown inAugust; August13 dedicated post confirms the expanded formats rather than proving all first shipped that day.</x:v>
      </x:c>
      <x:c r="S187" s="19" t="str"/>
      <x:c r="T187" s="19" t="str"/>
      <x:c r="U187" s="20" t="d">
        <x:v>2026-08-13T00:00:00.000Z</x:v>
      </x:c>
    </x:row>
    <x:row r="188" ht="85" customHeight="1">
      <x:c r="A188" s="21" t="d">
        <x:v>2026-08-12T00:00:00.000Z</x:v>
      </x:c>
      <x:c r="B188" s="19" t="str">
        <x:v>Stated effective date. Preview enhancement. Availability precision: Exact day</x:v>
      </x:c>
      <x:c r="C188" s="19" t="str">
        <x:v>Teams Phone Agent</x:v>
      </x:c>
      <x:c r="D188" s="19" t="str">
        <x:v>Spam and call controls</x:v>
      </x:c>
      <x:c r="E188" s="19" t="str">
        <x:v>Configure spam detection, disclaimer, and duration.</x:v>
      </x:c>
      <x:c r="F188" s="23" t="str">
        <x:v>Medium</x:v>
      </x:c>
      <x:c r="G188" s="19" t="str">
        <x:v>Set operational boundaries before opening an automated reception workflow to external callers.</x:v>
      </x:c>
      <x:c r="H188" s="19" t="str">
        <x:v>Adds operational guardrails that reduce nuisance calls and unbounded call duration.</x:v>
      </x:c>
      <x:c r="I188" s="19" t="str">
        <x:v>Preview enhancement</x:v>
      </x:c>
      <x:c r="J188" s="19" t="str">
        <x:v>Teams Phone prerequisites plus usage-based billing in Copilot Credits; funded spending policy required
Not supported in India; admin and telephony prerequisites apply. Without configured policy or credits, falls back to Auto Attendant.</x:v>
      </x:c>
      <x:c r="K188" s="19" t="str">
        <x:v>2026-08-12</x:v>
      </x:c>
      <x:c r="L188" s="25" t="str">
        <x:f>IFERROR(HYPERLINK("https://learn.microsoft.com/en-us/microsoftteams/aa-cq-setup-teams-phone-agent","Setup - Teams Phone Agent"),"Setup - Teams Phone Agent")</x:f>
        <x:v>Setup - Teams Phone Agent</x:v>
      </x:c>
      <x:c r="M188" s="25" t="str"/>
      <x:c r="N188" s="20" t="d">
        <x:v>2026-08-12T00:00:00.000Z</x:v>
      </x:c>
      <x:c r="O188" s="20" t="d">
        <x:v>2026-10-16T00:00:00.000Z</x:v>
      </x:c>
      <x:c r="P188" s="24" t="str">
        <x:v>COP-C6EE4D556B</x:v>
      </x:c>
      <x:c r="Q188" s="19" t="str">
        <x:v>Preview enhancement</x:v>
      </x:c>
      <x:c r="R188" s="19" t="str">
        <x:v>Date is the explicit dated changelog entry in the setup article, not an inferred page publication date.</x:v>
      </x:c>
      <x:c r="S188" s="19" t="str"/>
      <x:c r="T188" s="19" t="str"/>
      <x:c r="U188" s="20" t="d">
        <x:v>2026-08-12T00:00:00.000Z</x:v>
      </x:c>
    </x:row>
    <x:row r="189" ht="70" customHeight="1">
      <x:c r="A189" s="21" t="d">
        <x:v>2026-08-11T00:00:00.000Z</x:v>
      </x:c>
      <x:c r="B189" s="19" t="str">
        <x:v>Source report date. General-release milestone. Availability precision: Window</x:v>
      </x:c>
      <x:c r="C189" s="19" t="str">
        <x:v>Copilot connectors</x:v>
      </x:c>
      <x:c r="D189" s="19" t="str">
        <x:v>Parallel crawling</x:v>
      </x:c>
      <x:c r="E189" s="19" t="str">
        <x:v>Copilot connectors process content and identity crawls concurrently rather than sequentially to reduce availability delays.</x:v>
      </x:c>
      <x:c r="F189" s="23" t="str">
        <x:v>Medium</x:v>
      </x:c>
      <x:c r="G189" s="19" t="str">
        <x:v>Check whether newly revised source records become usable sooner during time-sensitive project work.</x:v>
      </x:c>
      <x:c r="H189" s="19" t="str">
        <x:v>Reduces a potential delay between source updates and retrieval.</x:v>
      </x:c>
      <x:c r="I189" s="19" t="str">
        <x:v>Generally available / staged rollout</x:v>
      </x:c>
      <x:c r="J189" s="19" t="str">
        <x:v>Unconfirmed; entry does not specify entitlement
Web; regions unconfirmed</x:v>
      </x:c>
      <x:c r="K189" s="19" t="str">
        <x:v>2026-07-28 to 2026-08-11</x:v>
      </x:c>
      <x:c r="L189" s="25" t="str">
        <x:f>IFERROR(HYPERLINK("https://learn.microsoft.com/en-us/microsoft-365/copilot/release-notes#august-11-2026","Microsoft 365 Copilot release notes"),"Microsoft 365 Copilot release notes")</x:f>
        <x:v>Microsoft 365 Copilot release notes</x:v>
      </x:c>
      <x:c r="M189" s="25" t="str"/>
      <x:c r="N189" s="20" t="d">
        <x:v>2026-08-11T00:00:00.000Z</x:v>
      </x:c>
      <x:c r="O189" s="20" t="d">
        <x:v>2026-10-16T00:00:00.000Z</x:v>
      </x:c>
      <x:c r="P189" s="24" t="str">
        <x:v>COP-EF330E36DD</x:v>
      </x:c>
      <x:c r="Q189" s="19" t="str">
        <x:v>General-release milestone</x:v>
      </x:c>
      <x:c r="R189" s="19" t="str">
        <x:v>Release-note batch gives a general-release window, not an exact first-launch date. Tenant rollout can be staged.</x:v>
      </x:c>
      <x:c r="S189" s="19" t="str"/>
      <x:c r="T189" s="19" t="str"/>
      <x:c r="U189" s="20" t="d">
        <x:v>2026-08-11T00:00:00.000Z</x:v>
      </x:c>
    </x:row>
    <x:row r="190" ht="70" customHeight="1">
      <x:c r="A190" s="21" t="d">
        <x:v>2026-08-11T00:00:00.000Z</x:v>
      </x:c>
      <x:c r="B190" s="19" t="str">
        <x:v>Source report date. General-release milestone. Availability precision: Window</x:v>
      </x:c>
      <x:c r="C190" s="19" t="str">
        <x:v>Outlook</x:v>
      </x:c>
      <x:c r="D190" s="19" t="str">
        <x:v>Draft coaching</x:v>
      </x:c>
      <x:c r="E190" s="19" t="str">
        <x:v>Outlook’s Copilot chat offers draft coaching and can apply the specific suggestions selected by the user.</x:v>
      </x:c>
      <x:c r="F190" s="23" t="str">
        <x:v>Medium</x:v>
      </x:c>
      <x:c r="G190" s="19" t="str">
        <x:v>Review tone or clarity suggestions and apply only those that preserve the intended message.</x:v>
      </x:c>
      <x:c r="H190" s="19" t="str">
        <x:v>Combines feedback and execution in a recurring communication task.</x:v>
      </x:c>
      <x:c r="I190" s="19" t="str">
        <x:v>Generally available / staged rollout</x:v>
      </x:c>
      <x:c r="J190" s="19" t="str">
        <x:v>Unconfirmed; entry does not specify entitlement
Android, Windows, iOS, Mac, Web; regions unconfirmed</x:v>
      </x:c>
      <x:c r="K190" s="19" t="str">
        <x:v>2026-07-28 to 2026-08-11</x:v>
      </x:c>
      <x:c r="L190" s="25" t="str">
        <x:f>IFERROR(HYPERLINK("https://learn.microsoft.com/en-us/microsoft-365/copilot/release-notes#august-11-2026","Microsoft 365 Copilot release notes"),"Microsoft 365 Copilot release notes")</x:f>
        <x:v>Microsoft 365 Copilot release notes</x:v>
      </x:c>
      <x:c r="M190" s="25" t="str"/>
      <x:c r="N190" s="20" t="d">
        <x:v>2026-08-11T00:00:00.000Z</x:v>
      </x:c>
      <x:c r="O190" s="20" t="d">
        <x:v>2026-10-16T00:00:00.000Z</x:v>
      </x:c>
      <x:c r="P190" s="24" t="str">
        <x:v>COP-3655D94E95</x:v>
      </x:c>
      <x:c r="Q190" s="19" t="str">
        <x:v>General-release milestone</x:v>
      </x:c>
      <x:c r="R190" s="19" t="str">
        <x:v>Release-note batch gives a general-release window, not an exact first-launch date. Tenant rollout can be staged.</x:v>
      </x:c>
      <x:c r="S190" s="19" t="str"/>
      <x:c r="T190" s="19" t="str">
        <x:v>559418</x:v>
      </x:c>
      <x:c r="U190" s="20" t="d">
        <x:v>2026-08-11T00:00:00.000Z</x:v>
      </x:c>
    </x:row>
    <x:row r="191" ht="70" customHeight="1">
      <x:c r="A191" s="21" t="d">
        <x:v>2026-08-11T00:00:00.000Z</x:v>
      </x:c>
      <x:c r="B191" s="19" t="str">
        <x:v>Source report date. General-release milestone. Availability precision: Window</x:v>
      </x:c>
      <x:c r="C191" s="19" t="str">
        <x:v>Outlook classic</x:v>
      </x:c>
      <x:c r="D191" s="19" t="str">
        <x:v>Meeting preparation</x:v>
      </x:c>
      <x:c r="E191" s="19" t="str">
        <x:v>Classic Outlook for Windows gains Copilot meeting preparation using relevant messages, tasks, documents and other context.</x:v>
      </x:c>
      <x:c r="F191" s="23" t="str">
        <x:v>Medium</x:v>
      </x:c>
      <x:c r="G191" s="19" t="str">
        <x:v>Gather the latest project material before a client meeting from the classic Windows email workflow.</x:v>
      </x:c>
      <x:c r="H191" s="19" t="str">
        <x:v>Extends an established preparation capability to another client.</x:v>
      </x:c>
      <x:c r="I191" s="19" t="str">
        <x:v>Generally available / staged rollout</x:v>
      </x:c>
      <x:c r="J191" s="19" t="str">
        <x:v>Microsoft 365 Copilot license
Windows; regions unconfirmed</x:v>
      </x:c>
      <x:c r="K191" s="19" t="str">
        <x:v>2026-07-28 to 2026-08-11</x:v>
      </x:c>
      <x:c r="L191" s="25" t="str">
        <x:f>IFERROR(HYPERLINK("https://learn.microsoft.com/en-us/microsoft-365/copilot/release-notes#august-11-2026","Microsoft 365 Copilot release notes"),"Microsoft 365 Copilot release notes")</x:f>
        <x:v>Microsoft 365 Copilot release notes</x:v>
      </x:c>
      <x:c r="M191" s="25" t="str"/>
      <x:c r="N191" s="20" t="d">
        <x:v>2026-08-11T00:00:00.000Z</x:v>
      </x:c>
      <x:c r="O191" s="20" t="d">
        <x:v>2026-10-16T00:00:00.000Z</x:v>
      </x:c>
      <x:c r="P191" s="24" t="str">
        <x:v>COP-0E26228825</x:v>
      </x:c>
      <x:c r="Q191" s="19" t="str">
        <x:v>General-release milestone</x:v>
      </x:c>
      <x:c r="R191" s="19" t="str">
        <x:v>Release-note batch gives a general-release window, not an exact first-launch date. Tenant rollout can be staged. Already available in other Outlook clients; this milestone concerns classic Outlook for Windows.</x:v>
      </x:c>
      <x:c r="S191" s="19" t="str"/>
      <x:c r="T191" s="19" t="str">
        <x:v>542186</x:v>
      </x:c>
      <x:c r="U191" s="20" t="d">
        <x:v>2026-08-11T00:00:00.000Z</x:v>
      </x:c>
    </x:row>
    <x:row r="192" ht="70" customHeight="1">
      <x:c r="A192" s="21" t="d">
        <x:v>2026-08-11T00:00:00.000Z</x:v>
      </x:c>
      <x:c r="B192" s="19" t="str">
        <x:v>Source report date. General-release milestone. Availability precision: Window</x:v>
      </x:c>
      <x:c r="C192" s="19" t="str">
        <x:v>Planner</x:v>
      </x:c>
      <x:c r="D192" s="19" t="str">
        <x:v>Basic-plan access</x:v>
      </x:c>
      <x:c r="E192" s="19" t="str">
        <x:v>Eligible Copilot users can access Planner Agent in group-based basic plans as well as other group-based plans.</x:v>
      </x:c>
      <x:c r="F192" s="23" t="str">
        <x:v>Medium</x:v>
      </x:c>
      <x:c r="G192" s="19" t="str">
        <x:v>Use an existing group-based basic plan for assisted task work rather than changing the plan solely for access.</x:v>
      </x:c>
      <x:c r="H192" s="19" t="str">
        <x:v>Broadens access for teams on a common plan type.</x:v>
      </x:c>
      <x:c r="I192" s="19" t="str">
        <x:v>Generally available / staged rollout</x:v>
      </x:c>
      <x:c r="J192" s="19" t="str">
        <x:v>Microsoft 365 Copilot license
Windows, Mac, Web; regions unconfirmed</x:v>
      </x:c>
      <x:c r="K192" s="19" t="str">
        <x:v>2026-07-28 to 2026-08-11</x:v>
      </x:c>
      <x:c r="L192" s="25" t="str">
        <x:f>IFERROR(HYPERLINK("https://learn.microsoft.com/en-us/microsoft-365/copilot/release-notes#august-11-2026","Microsoft 365 Copilot release notes"),"Microsoft 365 Copilot release notes")</x:f>
        <x:v>Microsoft 365 Copilot release notes</x:v>
      </x:c>
      <x:c r="M192" s="25" t="str"/>
      <x:c r="N192" s="20" t="d">
        <x:v>2026-08-11T00:00:00.000Z</x:v>
      </x:c>
      <x:c r="O192" s="20" t="d">
        <x:v>2026-10-16T00:00:00.000Z</x:v>
      </x:c>
      <x:c r="P192" s="24" t="str">
        <x:v>COP-F2280BE408</x:v>
      </x:c>
      <x:c r="Q192" s="19" t="str">
        <x:v>General-release milestone</x:v>
      </x:c>
      <x:c r="R192" s="19" t="str">
        <x:v>Release-note batch gives a general-release window, not an exact first-launch date. Tenant rollout can be staged. Applies to group-based plans including basic plans; does not establish availability for personal plans.</x:v>
      </x:c>
      <x:c r="S192" s="19" t="str"/>
      <x:c r="T192" s="19" t="str">
        <x:v>511820</x:v>
      </x:c>
      <x:c r="U192" s="20" t="d">
        <x:v>2026-08-11T00:00:00.000Z</x:v>
      </x:c>
    </x:row>
    <x:row r="193" ht="70" customHeight="1">
      <x:c r="A193" s="21" t="d">
        <x:v>2026-08-11T00:00:00.000Z</x:v>
      </x:c>
      <x:c r="B193" s="19" t="str">
        <x:v>Source report date. General-release milestone. Availability precision: Window</x:v>
      </x:c>
      <x:c r="C193" s="19" t="str">
        <x:v>PowerPoint / Adobe Experience Manager</x:v>
      </x:c>
      <x:c r="D193" s="19" t="str">
        <x:v>Asset sourcing</x:v>
      </x:c>
      <x:c r="E193" s="19" t="str">
        <x:v>With an Adobe Experience Manager asset connection configured, PowerPoint can use the organization’s images in generated presentations.</x:v>
      </x:c>
      <x:c r="F193" s="23" t="str">
        <x:v>Medium</x:v>
      </x:c>
      <x:c r="G193" s="19" t="str">
        <x:v>Reuse managed brand photography when creating a pitch deck after the asset connection is configured.</x:v>
      </x:c>
      <x:c r="H193" s="19" t="str">
        <x:v>Reduces manual asset transfer for organizations using that repository.</x:v>
      </x:c>
      <x:c r="I193" s="19" t="str">
        <x:v>Generally available / staged rollout</x:v>
      </x:c>
      <x:c r="J193" s="19" t="str">
        <x:v>Unconfirmed; entry does not specify entitlement
Web, Windows; regions unconfirmed</x:v>
      </x:c>
      <x:c r="K193" s="19" t="str">
        <x:v>2026-07-28 to 2026-08-11</x:v>
      </x:c>
      <x:c r="L193" s="25" t="str">
        <x:f>IFERROR(HYPERLINK("https://learn.microsoft.com/en-us/microsoft-365/copilot/release-notes#august-11-2026","Microsoft 365 Copilot release notes"),"Microsoft 365 Copilot release notes")</x:f>
        <x:v>Microsoft 365 Copilot release notes</x:v>
      </x:c>
      <x:c r="M193" s="25" t="str"/>
      <x:c r="N193" s="20" t="d">
        <x:v>2026-08-11T00:00:00.000Z</x:v>
      </x:c>
      <x:c r="O193" s="20" t="d">
        <x:v>2026-10-16T00:00:00.000Z</x:v>
      </x:c>
      <x:c r="P193" s="24" t="str">
        <x:v>COP-1B33E8256B</x:v>
      </x:c>
      <x:c r="Q193" s="19" t="str">
        <x:v>General-release milestone</x:v>
      </x:c>
      <x:c r="R193" s="19" t="str">
        <x:v>Release-note batch gives a general-release window, not an exact first-launch date. Tenant rollout can be staged. Web and Windows entries in the same batch merged; roadmaps 516038 and 516039. Adobe connection must exist.</x:v>
      </x:c>
      <x:c r="S193" s="19" t="str"/>
      <x:c r="T193" s="19" t="str">
        <x:v>516038</x:v>
      </x:c>
      <x:c r="U193" s="20" t="d">
        <x:v>2026-08-11T00:00:00.000Z</x:v>
      </x:c>
    </x:row>
    <x:row r="194" ht="70" customHeight="1">
      <x:c r="A194" s="21" t="d">
        <x:v>2026-08-11T00:00:00.000Z</x:v>
      </x:c>
      <x:c r="B194" s="19" t="str">
        <x:v>Source report date. General-release milestone. Availability precision: Window</x:v>
      </x:c>
      <x:c r="C194" s="19" t="str">
        <x:v>PowerPoint web</x:v>
      </x:c>
      <x:c r="D194" s="19" t="str">
        <x:v>Start-screen creation</x:v>
      </x:c>
      <x:c r="E194" s="19" t="str">
        <x:v>The PowerPoint web app provides a Copilot presentation-creation entry point directly on its opening screen.</x:v>
      </x:c>
      <x:c r="F194" s="23" t="str">
        <x:v>Low</x:v>
      </x:c>
      <x:c r="G194" s="19" t="str">
        <x:v>Begin a deck from the app’s opening screen rather than first creating a blank presentation.</x:v>
      </x:c>
      <x:c r="H194" s="19" t="str">
        <x:v>Removes a small setup step.</x:v>
      </x:c>
      <x:c r="I194" s="19" t="str">
        <x:v>Generally available / staged rollout</x:v>
      </x:c>
      <x:c r="J194" s="19" t="str">
        <x:v>Unconfirmed; entry does not specify entitlement
Web; regions unconfirmed</x:v>
      </x:c>
      <x:c r="K194" s="19" t="str">
        <x:v>2026-07-28 to 2026-08-11</x:v>
      </x:c>
      <x:c r="L194" s="25" t="str">
        <x:f>IFERROR(HYPERLINK("https://learn.microsoft.com/en-us/microsoft-365/copilot/release-notes#august-11-2026","Microsoft 365 Copilot release notes"),"Microsoft 365 Copilot release notes")</x:f>
        <x:v>Microsoft 365 Copilot release notes</x:v>
      </x:c>
      <x:c r="M194" s="25" t="str"/>
      <x:c r="N194" s="20" t="d">
        <x:v>2026-08-11T00:00:00.000Z</x:v>
      </x:c>
      <x:c r="O194" s="20" t="d">
        <x:v>2026-10-16T00:00:00.000Z</x:v>
      </x:c>
      <x:c r="P194" s="24" t="str">
        <x:v>COP-48229CFFCA</x:v>
      </x:c>
      <x:c r="Q194" s="19" t="str">
        <x:v>General-release milestone</x:v>
      </x:c>
      <x:c r="R194" s="19" t="str">
        <x:v>Release-note batch gives a general-release window, not an exact first-launch date. Tenant rollout can be staged.</x:v>
      </x:c>
      <x:c r="S194" s="19" t="str"/>
      <x:c r="T194" s="19" t="str">
        <x:v>560537</x:v>
      </x:c>
      <x:c r="U194" s="20" t="d">
        <x:v>2026-08-11T00:00:00.000Z</x:v>
      </x:c>
    </x:row>
    <x:row r="195" ht="70" customHeight="1">
      <x:c r="A195" s="21" t="d">
        <x:v>2026-08-11T00:00:00.000Z</x:v>
      </x:c>
      <x:c r="B195" s="19" t="str">
        <x:v>Source report date. General-release milestone. Availability precision: Window</x:v>
      </x:c>
      <x:c r="C195" s="19" t="str">
        <x:v>ServiceNow connectors</x:v>
      </x:c>
      <x:c r="D195" s="19" t="str">
        <x:v>Role enforcement</x:v>
      </x:c>
      <x:c r="E195" s="19" t="str">
        <x:v>The ServiceNow Knowledge and Catalog connectors apply role-based permissions when determining accessible source content.</x:v>
      </x:c>
      <x:c r="F195" s="23" t="str">
        <x:v>High</x:v>
      </x:c>
      <x:c r="G195" s="19" t="str">
        <x:v>Test representative users against restricted support material before widening connector rollout.</x:v>
      </x:c>
      <x:c r="H195" s="19" t="str">
        <x:v>Correct source-role enforcement is central to safe retrieval.</x:v>
      </x:c>
      <x:c r="I195" s="19" t="str">
        <x:v>Generally available / staged rollout</x:v>
      </x:c>
      <x:c r="J195" s="19" t="str">
        <x:v>Unconfirmed; entry does not specify entitlement
Web; regions unconfirmed</x:v>
      </x:c>
      <x:c r="K195" s="19" t="str">
        <x:v>2026-07-28 to 2026-08-11</x:v>
      </x:c>
      <x:c r="L195" s="25" t="str">
        <x:f>IFERROR(HYPERLINK("https://learn.microsoft.com/en-us/microsoft-365/copilot/release-notes#august-11-2026","Microsoft 365 Copilot release notes"),"Microsoft 365 Copilot release notes")</x:f>
        <x:v>Microsoft 365 Copilot release notes</x:v>
      </x:c>
      <x:c r="M195" s="25" t="str"/>
      <x:c r="N195" s="20" t="d">
        <x:v>2026-08-11T00:00:00.000Z</x:v>
      </x:c>
      <x:c r="O195" s="20" t="d">
        <x:v>2026-10-16T00:00:00.000Z</x:v>
      </x:c>
      <x:c r="P195" s="24" t="str">
        <x:v>COP-4140118515</x:v>
      </x:c>
      <x:c r="Q195" s="19" t="str">
        <x:v>General-release milestone</x:v>
      </x:c>
      <x:c r="R195" s="19" t="str">
        <x:v>Release-note batch gives a general-release window, not an exact first-launch date. Tenant rollout can be staged.</x:v>
      </x:c>
      <x:c r="S195" s="19" t="str"/>
      <x:c r="T195" s="19" t="str"/>
      <x:c r="U195" s="20" t="d">
        <x:v>2026-08-11T00:00:00.000Z</x:v>
      </x:c>
    </x:row>
    <x:row r="196" ht="70" customHeight="1">
      <x:c r="A196" s="21" t="d">
        <x:v>2026-08-11T00:00:00.000Z</x:v>
      </x:c>
      <x:c r="B196" s="19" t="str">
        <x:v>Source report date. General-release milestone. Availability precision: Window</x:v>
      </x:c>
      <x:c r="C196" s="19" t="str">
        <x:v>SharePoint / Copilot Search</x:v>
      </x:c>
      <x:c r="D196" s="19" t="str">
        <x:v>Authority weighting</x:v>
      </x:c>
      <x:c r="E196" s="19" t="str">
        <x:v>Administrators can designate authoritative SharePoint sites so approved organizational sources receive priority in Copilot Search.</x:v>
      </x:c>
      <x:c r="F196" s="23" t="str">
        <x:v>High</x:v>
      </x:c>
      <x:c r="G196" s="19" t="str">
        <x:v>Mark the maintained policy site so staff are more likely to find the approved version first.</x:v>
      </x:c>
      <x:c r="H196" s="19" t="str">
        <x:v>Can reduce reliance on outdated copies in high-frequency policy searches.</x:v>
      </x:c>
      <x:c r="I196" s="19" t="str">
        <x:v>Generally available / staged rollout</x:v>
      </x:c>
      <x:c r="J196" s="19" t="str">
        <x:v>Unconfirmed; entry does not specify entitlement
Windows, Web; regions unconfirmed</x:v>
      </x:c>
      <x:c r="K196" s="19" t="str">
        <x:v>2026-07-28 to 2026-08-11</x:v>
      </x:c>
      <x:c r="L196" s="25" t="str">
        <x:f>IFERROR(HYPERLINK("https://learn.microsoft.com/en-us/microsoft-365/copilot/release-notes#august-11-2026","Microsoft 365 Copilot release notes"),"Microsoft 365 Copilot release notes")</x:f>
        <x:v>Microsoft 365 Copilot release notes</x:v>
      </x:c>
      <x:c r="M196" s="25" t="str"/>
      <x:c r="N196" s="20" t="d">
        <x:v>2026-08-11T00:00:00.000Z</x:v>
      </x:c>
      <x:c r="O196" s="20" t="d">
        <x:v>2026-10-16T00:00:00.000Z</x:v>
      </x:c>
      <x:c r="P196" s="24" t="str">
        <x:v>COP-81522D91CE</x:v>
      </x:c>
      <x:c r="Q196" s="19" t="str">
        <x:v>General-release milestone</x:v>
      </x:c>
      <x:c r="R196" s="19" t="str">
        <x:v>Release-note batch gives a general-release window, not an exact first-launch date. Tenant rollout can be staged. The extracted title was incorrectly Roadmap ID. Actual heading is SharePoint Authoritative Sites, roadmap 561323.</x:v>
      </x:c>
      <x:c r="S196" s="19" t="str"/>
      <x:c r="T196" s="19" t="str">
        <x:v>561323</x:v>
      </x:c>
      <x:c r="U196" s="20" t="d">
        <x:v>2026-08-11T00:00:00.000Z</x:v>
      </x:c>
    </x:row>
    <x:row r="197" ht="70" customHeight="1">
      <x:c r="A197" s="21" t="d">
        <x:v>2026-08-11T00:00:00.000Z</x:v>
      </x:c>
      <x:c r="B197" s="19" t="str">
        <x:v>Source report date. General-release milestone. Availability precision: Window</x:v>
      </x:c>
      <x:c r="C197" s="19" t="str">
        <x:v>Viva Insights</x:v>
      </x:c>
      <x:c r="D197" s="19" t="str">
        <x:v>Credit dashboard</x:v>
      </x:c>
      <x:c r="E197" s="19" t="str">
        <x:v>An Insights Consumption Dashboard reports Copilot credit usage across AI services and associated budget information.</x:v>
      </x:c>
      <x:c r="F197" s="23" t="str">
        <x:v>Medium</x:v>
      </x:c>
      <x:c r="G197" s="19" t="str">
        <x:v>Estimate the recurring cost of an AI pilot before it becomes a department-wide commitment.</x:v>
      </x:c>
      <x:c r="H197" s="19" t="str">
        <x:v>Makes spending review easier for responsible budget owners.</x:v>
      </x:c>
      <x:c r="I197" s="19" t="str">
        <x:v>Generally available / staged rollout</x:v>
      </x:c>
      <x:c r="J197" s="19" t="str">
        <x:v>Unconfirmed; entry does not specify entitlement
Web; regions unconfirmed</x:v>
      </x:c>
      <x:c r="K197" s="19" t="str">
        <x:v>2026-07-28 to 2026-08-11</x:v>
      </x:c>
      <x:c r="L197" s="25" t="str">
        <x:f>IFERROR(HYPERLINK("https://learn.microsoft.com/en-us/microsoft-365/copilot/release-notes#august-11-2026","Microsoft 365 Copilot release notes"),"Microsoft 365 Copilot release notes")</x:f>
        <x:v>Microsoft 365 Copilot release notes</x:v>
      </x:c>
      <x:c r="M197" s="25" t="str"/>
      <x:c r="N197" s="20" t="d">
        <x:v>2026-08-11T00:00:00.000Z</x:v>
      </x:c>
      <x:c r="O197" s="20" t="d">
        <x:v>2026-10-16T00:00:00.000Z</x:v>
      </x:c>
      <x:c r="P197" s="24" t="str">
        <x:v>COP-21364B054A</x:v>
      </x:c>
      <x:c r="Q197" s="19" t="str">
        <x:v>General-release milestone</x:v>
      </x:c>
      <x:c r="R197" s="19" t="str">
        <x:v>Release-note batch gives a general-release window, not an exact first-launch date. Tenant rollout can be staged.</x:v>
      </x:c>
      <x:c r="S197" s="19" t="str"/>
      <x:c r="T197" s="19" t="str">
        <x:v>566302</x:v>
      </x:c>
      <x:c r="U197" s="20" t="d">
        <x:v>2026-08-11T00:00:00.000Z</x:v>
      </x:c>
    </x:row>
    <x:row r="198" ht="64" customHeight="1">
      <x:c r="A198" s="21" t="d">
        <x:v>2026-08-06T00:00:00.000Z</x:v>
      </x:c>
      <x:c r="B198" s="19" t="str">
        <x:v>Stated effective date. GA. Availability precision: Exact day</x:v>
      </x:c>
      <x:c r="C198" s="19" t="str">
        <x:v>Excel</x:v>
      </x:c>
      <x:c r="D198" s="19" t="str">
        <x:v>Connector source selection</x:v>
      </x:c>
      <x:c r="E198" s="19" t="str">
        <x:v>Choose the connected source used for analysis.</x:v>
      </x:c>
      <x:c r="F198" s="23" t="str">
        <x:v>Medium</x:v>
      </x:c>
      <x:c r="G198" s="19" t="str">
        <x:v>Restrict a pipeline analysis to the approved CRM source rather than mixing unrelated content.</x:v>
      </x:c>
      <x:c r="H198" s="19" t="str">
        <x:v>Improves relevance and lets users narrow which enterprise system informs a result.</x:v>
      </x:c>
      <x:c r="I198" s="19" t="str">
        <x:v>GA</x:v>
      </x:c>
      <x:c r="J198" s="19" t="str">
        <x:v>Microsoft 365 Copilot; configured connectors and source permissions
Windows, Mac, web</x:v>
      </x:c>
      <x:c r="K198" s="19" t="str">
        <x:v>2026-08-06</x:v>
      </x:c>
      <x:c r="L198" s="25" t="str">
        <x:f>IFERROR(HYPERLINK("https://techcommunity.microsoft.com/blog/excelblog/bring-your-organization%E2%80%99s-data-into-excel-with-new-copilot-synced-connectors/4544682","Bring your organization’s data into Excel with new Copilot synced connectors"),"Bring your organization’s data into Excel with new Copilot synced connectors")</x:f>
        <x:v>Bring your organization’s data into Excel with new Copilot synced connectors</x:v>
      </x:c>
      <x:c r="M198" s="25" t="str"/>
      <x:c r="N198" s="20" t="d">
        <x:v>2026-08-06T00:00:00.000Z</x:v>
      </x:c>
      <x:c r="O198" s="20" t="d">
        <x:v>2026-10-16T00:00:00.000Z</x:v>
      </x:c>
      <x:c r="P198" s="24" t="str">
        <x:v>COP-D9E9B27FAE</x:v>
      </x:c>
      <x:c r="Q198" s="19" t="str">
        <x:v>GA</x:v>
      </x:c>
      <x:c r="R198" s="19"/>
      <x:c r="S198" s="19" t="str"/>
      <x:c r="T198" s="19" t="str"/>
      <x:c r="U198" s="20" t="d">
        <x:v>2026-08-06T00:00:00.000Z</x:v>
      </x:c>
    </x:row>
    <x:row r="199" ht="64" customHeight="1">
      <x:c r="A199" s="21" t="d">
        <x:v>2026-08-06T00:00:00.000Z</x:v>
      </x:c>
      <x:c r="B199" s="19" t="str">
        <x:v>Stated effective date. GA. Availability precision: Exact day</x:v>
      </x:c>
      <x:c r="C199" s="19" t="str">
        <x:v>Excel</x:v>
      </x:c>
      <x:c r="D199" s="19" t="str">
        <x:v>Synced enterprise connectors</x:v>
      </x:c>
      <x:c r="E199" s="19" t="str">
        <x:v>Import permission-aware indexed business records into the grid.</x:v>
      </x:c>
      <x:c r="F199" s="23" t="str">
        <x:v>High</x:v>
      </x:c>
      <x:c r="G199" s="19" t="str">
        <x:v>Combine project tickets or CRM records into an analysis workbook without manual CSV consolidation.</x:v>
      </x:c>
      <x:c r="H199" s="19" t="str">
        <x:v>Extends spreadsheet work to operational information beyond the workbook itself.</x:v>
      </x:c>
      <x:c r="I199" s="19" t="str">
        <x:v>GA</x:v>
      </x:c>
      <x:c r="J199" s="19" t="str">
        <x:v>Microsoft 365 Copilot; partner services may require BYOL
Windows, Mac, web; commercial</x:v>
      </x:c>
      <x:c r="K199" s="19" t="str">
        <x:v>2026-08-06</x:v>
      </x:c>
      <x:c r="L199" s="25" t="str">
        <x:f>IFERROR(HYPERLINK("https://techcommunity.microsoft.com/blog/excelblog/bring-your-organization%E2%80%99s-data-into-excel-with-new-copilot-synced-connectors/4544682","Bring your organization’s data into Excel with new Copilot synced connectors"),"Bring your organization’s data into Excel with new Copilot synced connectors")</x:f>
        <x:v>Bring your organization’s data into Excel with new Copilot synced connectors</x:v>
      </x:c>
      <x:c r="M199" s="25" t="str"/>
      <x:c r="N199" s="20" t="d">
        <x:v>2026-08-06T00:00:00.000Z</x:v>
      </x:c>
      <x:c r="O199" s="20" t="d">
        <x:v>2026-10-16T00:00:00.000Z</x:v>
      </x:c>
      <x:c r="P199" s="24" t="str">
        <x:v>COP-BF826F4875</x:v>
      </x:c>
      <x:c r="Q199" s="19" t="str">
        <x:v>GA</x:v>
      </x:c>
      <x:c r="R199" s="19" t="str">
        <x:v>Dedicated post says GA starts August 6; July roundup already described GA, so first availability is inconsistent.</x:v>
      </x:c>
      <x:c r="S199" s="19" t="str"/>
      <x:c r="T199" s="19" t="str"/>
      <x:c r="U199" s="20" t="d">
        <x:v>2026-08-06T00:00:00.000Z</x:v>
      </x:c>
    </x:row>
    <x:row r="200" ht="70" customHeight="1">
      <x:c r="A200" s="21" t="d">
        <x:v>2026-07-31T00:00:00.000Z</x:v>
      </x:c>
      <x:c r="B200" s="19" t="str">
        <x:v>Source report date. Released / rolling out. Availability precision: Month only</x:v>
      </x:c>
      <x:c r="C200" s="19" t="str">
        <x:v>Agent 365 / Insights</x:v>
      </x:c>
      <x:c r="D200" s="19" t="str">
        <x:v>Agent adoption dashboard</x:v>
      </x:c>
      <x:c r="E200" s="19" t="str">
        <x:v>Inspect agent adoption, retention, and group trends.</x:v>
      </x:c>
      <x:c r="F200" s="23" t="str">
        <x:v>Medium</x:v>
      </x:c>
      <x:c r="G200" s="19" t="str">
        <x:v>Identify which deployed assistants are actually being used before expanding the rollout.</x:v>
      </x:c>
      <x:c r="H200" s="19" t="str">
        <x:v>Makes rollout decisions less dependent on anecdotes and individual support requests.</x:v>
      </x:c>
      <x:c r="I200" s="19" t="str">
        <x:v>Released / rolling out</x:v>
      </x:c>
      <x:c r="J200" s="19" t="str">
        <x:v>Microsoft 365 Copilot; confirm tenant entitlement
Not specified in announcement; verify tenant availability</x:v>
      </x:c>
      <x:c r="K200" s="19" t="str">
        <x:v>2026-07</x:v>
      </x:c>
      <x:c r="L200"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0" s="25" t="str"/>
      <x:c r="N200" s="20" t="d">
        <x:v>2026-07-31T00:00:00.000Z</x:v>
      </x:c>
      <x:c r="O200" s="20" t="d">
        <x:v>2026-10-16T00:00:00.000Z</x:v>
      </x:c>
      <x:c r="P200" s="24" t="str">
        <x:v>COP-C16C704B66</x:v>
      </x:c>
      <x:c r="Q200" s="19" t="str">
        <x:v>Released / rolling out</x:v>
      </x:c>
      <x:c r="R200" s="19" t="str">
        <x:v>July-only availability precision; exact release day is unverified.</x:v>
      </x:c>
      <x:c r="S200" s="19" t="str"/>
      <x:c r="T200" s="19" t="str"/>
      <x:c r="U200" s="20" t="d">
        <x:v>2026-07-31T00:00:00.000Z</x:v>
      </x:c>
    </x:row>
    <x:row r="201" ht="70" customHeight="1">
      <x:c r="A201" s="21" t="d">
        <x:v>2026-07-31T00:00:00.000Z</x:v>
      </x:c>
      <x:c r="B201" s="19" t="str">
        <x:v>Source report date. Released / rolling out. Availability precision: Month only</x:v>
      </x:c>
      <x:c r="C201" s="19" t="str">
        <x:v>Copilot administration</x:v>
      </x:c>
      <x:c r="D201" s="19" t="str">
        <x:v>Government-cloud Chat reporting</x:v>
      </x:c>
      <x:c r="E201" s="19" t="str">
        <x:v>Usage reports expand to government clouds.</x:v>
      </x:c>
      <x:c r="F201" s="23" t="str">
        <x:v>Medium</x:v>
      </x:c>
      <x:c r="G201" s="19" t="str">
        <x:v>Review active usage before assigning more paid seats.</x:v>
      </x:c>
      <x:c r="H201" s="19" t="str">
        <x:v>Supports adoption and licensing decisions where commercial-cloud analytics were insufficient.</x:v>
      </x:c>
      <x:c r="I201" s="19" t="str">
        <x:v>Released / rolling out</x:v>
      </x:c>
      <x:c r="J201" s="19" t="str">
        <x:v>Relevant Microsoft 365 Copilot entitlement; announcement does not fully specify licensing
GCC, GCC High, DoD; user activity anonymized by default</x:v>
      </x:c>
      <x:c r="K201" s="19" t="str">
        <x:v>2026-07</x:v>
      </x:c>
      <x:c r="L201"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1" s="25" t="str"/>
      <x:c r="N201" s="20" t="d">
        <x:v>2026-07-31T00:00:00.000Z</x:v>
      </x:c>
      <x:c r="O201" s="20" t="d">
        <x:v>2026-10-16T00:00:00.000Z</x:v>
      </x:c>
      <x:c r="P201" s="24" t="str">
        <x:v>COP-6557E29E2B</x:v>
      </x:c>
      <x:c r="Q201" s="19" t="str">
        <x:v>Released / rolling out</x:v>
      </x:c>
      <x:c r="R201" s="19" t="str">
        <x:v> Month-only July may predate July16.</x:v>
      </x:c>
      <x:c r="S201" s="19" t="str"/>
      <x:c r="T201" s="19" t="str"/>
      <x:c r="U201" s="20" t="d">
        <x:v>2026-07-31T00:00:00.000Z</x:v>
      </x:c>
    </x:row>
    <x:row r="202" ht="70" customHeight="1">
      <x:c r="A202" s="21" t="d">
        <x:v>2026-07-31T00:00:00.000Z</x:v>
      </x:c>
      <x:c r="B202" s="19" t="str">
        <x:v>Source report date. Released / rolling out. Availability precision: Month only</x:v>
      </x:c>
      <x:c r="C202" s="19" t="str">
        <x:v>Copilot Chat</x:v>
      </x:c>
      <x:c r="D202" s="19" t="str">
        <x:v>Office agent mentions</x:v>
      </x:c>
      <x:c r="E202" s="19" t="str">
        <x:v>Invoke Word, Excel, or PowerPoint agents in chat.</x:v>
      </x:c>
      <x:c r="F202" s="23" t="str">
        <x:v>High</x:v>
      </x:c>
      <x:c r="G202" s="19" t="str">
        <x:v>Prepare a proposal document, budget, and pitch deck from one conversation.</x:v>
      </x:c>
      <x:c r="H202" s="19" t="str">
        <x:v>Combines multiple deliverable formats in one task, reducing repeated context setup across apps.</x:v>
      </x:c>
      <x:c r="I202" s="19" t="str">
        <x:v>Released / rolling out</x:v>
      </x:c>
      <x:c r="J202" s="19" t="str">
        <x:v>Microsoft 365 Copilot; confirm tenant entitlement
Not specified in announcement; verify tenant availability</x:v>
      </x:c>
      <x:c r="K202" s="19" t="str">
        <x:v>2026-07</x:v>
      </x:c>
      <x:c r="L202"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2" s="25" t="str"/>
      <x:c r="N202" s="20" t="d">
        <x:v>2026-07-31T00:00:00.000Z</x:v>
      </x:c>
      <x:c r="O202" s="20" t="d">
        <x:v>2026-10-16T00:00:00.000Z</x:v>
      </x:c>
      <x:c r="P202" s="24" t="str">
        <x:v>COP-A56339CC96</x:v>
      </x:c>
      <x:c r="Q202" s="19" t="str">
        <x:v>Released / rolling out</x:v>
      </x:c>
      <x:c r="R202" s="19" t="str">
        <x:v>July-only availability precision; exact release day is unverified.</x:v>
      </x:c>
      <x:c r="S202" s="19" t="str"/>
      <x:c r="T202" s="19" t="str"/>
      <x:c r="U202" s="20" t="d">
        <x:v>2026-07-31T00:00:00.000Z</x:v>
      </x:c>
    </x:row>
    <x:row r="203" ht="85" customHeight="1">
      <x:c r="A203" s="21" t="d">
        <x:v>2026-07-31T00:00:00.000Z</x:v>
      </x:c>
      <x:c r="B203" s="19" t="str">
        <x:v>Source report date. Released / rolling out. Availability precision: Month only</x:v>
      </x:c>
      <x:c r="C203" s="19" t="str">
        <x:v>Copilot connectors</x:v>
      </x:c>
      <x:c r="D203" s="19" t="str">
        <x:v>July industry connector expansion</x:v>
      </x:c>
      <x:c r="E203" s="19" t="str">
        <x:v>Adds finance and industry data sources.</x:v>
      </x:c>
      <x:c r="F203" s="23" t="str">
        <x:v>High</x:v>
      </x:c>
      <x:c r="G203" s="19" t="str">
        <x:v>Combine authorized market data with an internal planning document.</x:v>
      </x:c>
      <x:c r="H203" s="19" t="str">
        <x:v>Makes specialized licensed evidence usable alongside internal work context.</x:v>
      </x:c>
      <x:c r="I203" s="19" t="str">
        <x:v>Released / rolling out</x:v>
      </x:c>
      <x:c r="J203" s="19" t="str">
        <x:v>Copilot access plus relevant data-provider rights; admin enablement required
Examples include FactSet, Fitch, Morningstar, PitchBook, Daloopa, Forrester, Infor Nexus, Granola; connector/region availability varies</x:v>
      </x:c>
      <x:c r="K203" s="19" t="str">
        <x:v>2026-07</x:v>
      </x:c>
      <x:c r="L203"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3" s="25" t="str"/>
      <x:c r="N203" s="20" t="d">
        <x:v>2026-07-31T00:00:00.000Z</x:v>
      </x:c>
      <x:c r="O203" s="20" t="d">
        <x:v>2026-10-16T00:00:00.000Z</x:v>
      </x:c>
      <x:c r="P203" s="24" t="str">
        <x:v>COP-CCF46753EA</x:v>
      </x:c>
      <x:c r="Q203" s="19" t="str">
        <x:v>Released / rolling out</x:v>
      </x:c>
      <x:c r="R203" s="19" t="str">
        <x:v>Grouped ecosystem event, not a claim every integration has identical tools or pricing. Month-only July may predate July16.</x:v>
      </x:c>
      <x:c r="S203" s="19" t="str"/>
      <x:c r="T203" s="19" t="str"/>
      <x:c r="U203" s="20" t="d">
        <x:v>2026-07-31T00:00:00.000Z</x:v>
      </x:c>
    </x:row>
    <x:row r="204" ht="70" customHeight="1">
      <x:c r="A204" s="21" t="d">
        <x:v>2026-07-31T00:00:00.000Z</x:v>
      </x:c>
      <x:c r="B204" s="19" t="str">
        <x:v>Source report date. Released / rolling out. Availability precision: Month only</x:v>
      </x:c>
      <x:c r="C204" s="19" t="str">
        <x:v>Copilot cost management</x:v>
      </x:c>
      <x:c r="D204" s="19" t="str">
        <x:v>In-flight task overage handling</x:v>
      </x:c>
      <x:c r="E204" s="19" t="str">
        <x:v>Tasks may finish with nonbillable overage.</x:v>
      </x:c>
      <x:c r="F204" s="23" t="str">
        <x:v>Medium</x:v>
      </x:c>
      <x:c r="G204" s="19" t="str">
        <x:v>Avoid treating a policy threshold as an immediate cancellation guarantee.</x:v>
      </x:c>
      <x:c r="H204" s="19" t="str">
        <x:v>Changes how admins interpret limits and the cost of work already in progress. The productivity benefit is indirect and mainly affects administrators or purchasing decisions.</x:v>
      </x:c>
      <x:c r="I204" s="19" t="str">
        <x:v>Released / rolling out</x:v>
      </x:c>
      <x:c r="J204" s="19" t="str">
        <x:v>Relevant Microsoft 365 Copilot entitlement; announcement does not fully specify licensing
Tenant availability and applicable admin policy must be checked</x:v>
      </x:c>
      <x:c r="K204" s="19" t="str">
        <x:v>2026-07</x:v>
      </x:c>
      <x:c r="L204"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4" s="25" t="str"/>
      <x:c r="N204" s="20" t="d">
        <x:v>2026-07-31T00:00:00.000Z</x:v>
      </x:c>
      <x:c r="O204" s="20" t="d">
        <x:v>2026-10-16T00:00:00.000Z</x:v>
      </x:c>
      <x:c r="P204" s="24" t="str">
        <x:v>COP-D8D2ECEC8B</x:v>
      </x:c>
      <x:c r="Q204" s="19" t="str">
        <x:v>Released / rolling out</x:v>
      </x:c>
      <x:c r="R204" s="19" t="str">
        <x:v>Source says completion overage is neither billed nor shown as consumed credits. Month-only July may predate July16.</x:v>
      </x:c>
      <x:c r="S204" s="19" t="str"/>
      <x:c r="T204" s="19" t="str"/>
      <x:c r="U204" s="20" t="d">
        <x:v>2026-07-31T00:00:00.000Z</x:v>
      </x:c>
    </x:row>
    <x:row r="205" ht="70" customHeight="1">
      <x:c r="A205" s="21" t="d">
        <x:v>2026-07-31T00:00:00.000Z</x:v>
      </x:c>
      <x:c r="B205" s="19" t="str">
        <x:v>Source report date. Released / rolling out. Availability precision: Month only</x:v>
      </x:c>
      <x:c r="C205" s="19" t="str">
        <x:v>Copilot cost management</x:v>
      </x:c>
      <x:c r="D205" s="19" t="str">
        <x:v>Multiple-policy enforcement</x:v>
      </x:c>
      <x:c r="E205" s="19" t="str">
        <x:v>Highest per-user limit stays governing.</x:v>
      </x:c>
      <x:c r="F205" s="23" t="str">
        <x:v>Medium</x:v>
      </x:c>
      <x:c r="G205" s="19" t="str">
        <x:v>Test group membership against the intended budget before rollout.</x:v>
      </x:c>
      <x:c r="H205" s="19" t="str">
        <x:v>Prevents mistaken assumptions about how overlapping spending policies combine or switch. The productivity benefit is indirect and mainly affects administrators or purchasing decisions.</x:v>
      </x:c>
      <x:c r="I205" s="19" t="str">
        <x:v>Released / rolling out</x:v>
      </x:c>
      <x:c r="J205" s="19" t="str">
        <x:v>Relevant Microsoft 365 Copilot entitlement; announcement does not fully specify licensing
Tenant availability and applicable admin policy must be checked</x:v>
      </x:c>
      <x:c r="K205" s="19" t="str">
        <x:v>2026-07</x:v>
      </x:c>
      <x:c r="L205"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5" s="25" t="str"/>
      <x:c r="N205" s="20" t="d">
        <x:v>2026-07-31T00:00:00.000Z</x:v>
      </x:c>
      <x:c r="O205" s="20" t="d">
        <x:v>2026-10-16T00:00:00.000Z</x:v>
      </x:c>
      <x:c r="P205" s="24" t="str">
        <x:v>COP-1FE0AA1CED</x:v>
      </x:c>
      <x:c r="Q205" s="19" t="str">
        <x:v>Released / rolling out</x:v>
      </x:c>
      <x:c r="R205" s="19" t="str">
        <x:v>Users stay on the highest-limit applicable policy when they reach that limit; no fallback to another policy. Month-only July may predate July16.</x:v>
      </x:c>
      <x:c r="S205" s="19" t="str"/>
      <x:c r="T205" s="19"/>
      <x:c r="U205" s="20" t="d">
        <x:v>2026-07-31T00:00:00.000Z</x:v>
      </x:c>
    </x:row>
    <x:row r="206" ht="70" customHeight="1">
      <x:c r="A206" s="21" t="d">
        <x:v>2026-07-31T00:00:00.000Z</x:v>
      </x:c>
      <x:c r="B206" s="19" t="str">
        <x:v>Source report date. Released / rolling out. Availability precision: Month only</x:v>
      </x:c>
      <x:c r="C206" s="19" t="str">
        <x:v>Copilot cost management</x:v>
      </x:c>
      <x:c r="D206" s="19" t="str">
        <x:v>Spending alert reliability</x:v>
      </x:c>
      <x:c r="E206" s="19" t="str">
        <x:v>Updated spending alerts require recreation.</x:v>
      </x:c>
      <x:c r="F206" s="23" t="str">
        <x:v>Medium</x:v>
      </x:c>
      <x:c r="G206" s="19" t="str">
        <x:v>Audit policies and recreate required notifications before increasing agent usage.</x:v>
      </x:c>
      <x:c r="H206" s="19" t="str">
        <x:v>Existing alert configurations may need action to preserve budget notifications. The productivity benefit is indirect and mainly affects administrators or purchasing decisions.</x:v>
      </x:c>
      <x:c r="I206" s="19" t="str">
        <x:v>Released / rolling out</x:v>
      </x:c>
      <x:c r="J206" s="19" t="str">
        <x:v>Relevant Microsoft 365 Copilot entitlement; announcement does not fully specify licensing
Tenant availability and applicable admin policy must be checked</x:v>
      </x:c>
      <x:c r="K206" s="19" t="str">
        <x:v>2026-07</x:v>
      </x:c>
      <x:c r="L206"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6" s="25" t="str"/>
      <x:c r="N206" s="20" t="d">
        <x:v>2026-07-31T00:00:00.000Z</x:v>
      </x:c>
      <x:c r="O206" s="20" t="d">
        <x:v>2026-10-16T00:00:00.000Z</x:v>
      </x:c>
      <x:c r="P206" s="24" t="str">
        <x:v>COP-635447E5A1</x:v>
      </x:c>
      <x:c r="Q206" s="19" t="str">
        <x:v>Released / rolling out</x:v>
      </x:c>
      <x:c r="R206" s="19" t="str">
        <x:v>Source specifically advises recreating existing-policy alerts where notifications are required. Month-only July may predate July16.</x:v>
      </x:c>
      <x:c r="S206" s="19" t="str"/>
      <x:c r="T206" s="19" t="str"/>
      <x:c r="U206" s="20" t="d">
        <x:v>2026-07-31T00:00:00.000Z</x:v>
      </x:c>
    </x:row>
    <x:row r="207" ht="70" customHeight="1">
      <x:c r="A207" s="21" t="d">
        <x:v>2026-07-31T00:00:00.000Z</x:v>
      </x:c>
      <x:c r="B207" s="19" t="str">
        <x:v>Source report date. Released / rolling out. Availability precision: Month only</x:v>
      </x:c>
      <x:c r="C207" s="19" t="str">
        <x:v>Copilot Cowork</x:v>
      </x:c>
      <x:c r="D207" s="19" t="str">
        <x:v>Skill import and sharing</x:v>
      </x:c>
      <x:c r="E207" s="19" t="str">
        <x:v>Import skills/plugins and share maintained versions.</x:v>
      </x:c>
      <x:c r="F207" s="23" t="str">
        <x:v>High</x:v>
      </x:c>
      <x:c r="G207" s="19" t="str">
        <x:v>Share a reviewed weekly reporting procedure and distribute corrections from the owned copy.</x:v>
      </x:c>
      <x:c r="H207" s="19" t="str">
        <x:v>Turns individual workflow knowledge into reusable team automation with a single owner.</x:v>
      </x:c>
      <x:c r="I207" s="19" t="str">
        <x:v>Released / rolling out</x:v>
      </x:c>
      <x:c r="J207" s="19" t="str">
        <x:v>Relevant Microsoft 365 Copilot entitlement; announcement does not fully specify licensing
Supports .md, .zip, .skill; compatible plugin packages converted; sharing governed by organization</x:v>
      </x:c>
      <x:c r="K207" s="19" t="str">
        <x:v>2026-07</x:v>
      </x:c>
      <x:c r="L207"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7" s="25" t="str"/>
      <x:c r="N207" s="20" t="d">
        <x:v>2026-07-31T00:00:00.000Z</x:v>
      </x:c>
      <x:c r="O207" s="20" t="d">
        <x:v>2026-10-16T00:00:00.000Z</x:v>
      </x:c>
      <x:c r="P207" s="24" t="str">
        <x:v>COP-D5F1FAF095</x:v>
      </x:c>
      <x:c r="Q207" s="19" t="str">
        <x:v>Released / rolling out</x:v>
      </x:c>
      <x:c r="R207" s="19" t="str">
        <x:v> Month-only July may predate July16.</x:v>
      </x:c>
      <x:c r="S207" s="19" t="str"/>
      <x:c r="T207" s="19"/>
      <x:c r="U207" s="20" t="d">
        <x:v>2026-07-31T00:00:00.000Z</x:v>
      </x:c>
    </x:row>
    <x:row r="208" ht="70" customHeight="1">
      <x:c r="A208" s="21" t="d">
        <x:v>2026-07-31T00:00:00.000Z</x:v>
      </x:c>
      <x:c r="B208" s="19" t="str">
        <x:v>Source report date. Released / rolling out. Availability precision: Month only</x:v>
      </x:c>
      <x:c r="C208" s="19" t="str">
        <x:v>Copilot Cowork models</x:v>
      </x:c>
      <x:c r="D208" s="19" t="str">
        <x:v>Claude Fable 5</x:v>
      </x:c>
      <x:c r="E208" s="19" t="str">
        <x:v>Long-running-work model choice added.</x:v>
      </x:c>
      <x:c r="F208" s="23" t="str">
        <x:v>Medium</x:v>
      </x:c>
      <x:c r="G208" s="19" t="str">
        <x:v>Trial a complex research assignment and compare it with another model.</x:v>
      </x:c>
      <x:c r="H208" s="19" t="str">
        <x:v>Adds a model option for sustained tasks; suitability requires evaluation rather than assuming vendor quality claims.</x:v>
      </x:c>
      <x:c r="I208" s="19" t="str">
        <x:v>Released / rolling out</x:v>
      </x:c>
      <x:c r="J208" s="19" t="str">
        <x:v>Relevant Microsoft 365 Copilot entitlement; announcement does not fully specify licensing
Off by default; admin enablement and availability apply</x:v>
      </x:c>
      <x:c r="K208" s="19" t="str">
        <x:v>2026-07</x:v>
      </x:c>
      <x:c r="L208"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8" s="25" t="str"/>
      <x:c r="N208" s="20" t="d">
        <x:v>2026-07-31T00:00:00.000Z</x:v>
      </x:c>
      <x:c r="O208" s="20" t="d">
        <x:v>2026-10-16T00:00:00.000Z</x:v>
      </x:c>
      <x:c r="P208" s="24" t="str">
        <x:v>COP-CE8DACBDE6</x:v>
      </x:c>
      <x:c r="Q208" s="19" t="str">
        <x:v>Released / rolling out</x:v>
      </x:c>
      <x:c r="R208" s="19" t="str">
        <x:v>Superseded by Fable5.1 in September Cowork changelog; no benchmark claim made. Month-only July may predate July16.</x:v>
      </x:c>
      <x:c r="S208" s="19" t="str"/>
      <x:c r="T208" s="19" t="str"/>
      <x:c r="U208" s="20" t="d">
        <x:v>2026-07-31T00:00:00.000Z</x:v>
      </x:c>
    </x:row>
    <x:row r="209" ht="70" customHeight="1">
      <x:c r="A209" s="21" t="d">
        <x:v>2026-07-31T00:00:00.000Z</x:v>
      </x:c>
      <x:c r="B209" s="19" t="str">
        <x:v>Source report date. Released / rolling out. Availability precision: Month only</x:v>
      </x:c>
      <x:c r="C209" s="19" t="str">
        <x:v>Copilot mobile</x:v>
      </x:c>
      <x:c r="D209" s="19" t="str">
        <x:v>Proactive work notifications</x:v>
      </x:c>
      <x:c r="E209" s="19" t="str">
        <x:v>Work prompts arrive as push notifications.</x:v>
      </x:c>
      <x:c r="F209" s="23" t="str">
        <x:v>Medium</x:v>
      </x:c>
      <x:c r="G209" s="19" t="str">
        <x:v>Review a day-at-a-glance prompt before commuting.</x:v>
      </x:c>
      <x:c r="H209" s="19" t="str">
        <x:v>Surfaces pending work without repeatedly checking several apps.</x:v>
      </x:c>
      <x:c r="I209" s="19" t="str">
        <x:v>Released / rolling out</x:v>
      </x:c>
      <x:c r="J209" s="19" t="str">
        <x:v>Paid Microsoft 365 Copilot license required
iOS and Android</x:v>
      </x:c>
      <x:c r="K209" s="19" t="str">
        <x:v>2026-07</x:v>
      </x:c>
      <x:c r="L209"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09" s="25" t="str"/>
      <x:c r="N209" s="20" t="d">
        <x:v>2026-07-31T00:00:00.000Z</x:v>
      </x:c>
      <x:c r="O209" s="20" t="d">
        <x:v>2026-10-16T00:00:00.000Z</x:v>
      </x:c>
      <x:c r="P209" s="24" t="str">
        <x:v>COP-1CC0DCB11B</x:v>
      </x:c>
      <x:c r="Q209" s="19" t="str">
        <x:v>Released / rolling out</x:v>
      </x:c>
      <x:c r="R209" s="19" t="str">
        <x:v> Month-only July may predate July16.</x:v>
      </x:c>
      <x:c r="S209" s="19" t="str"/>
      <x:c r="T209" s="19" t="str"/>
      <x:c r="U209" s="20" t="d">
        <x:v>2026-07-31T00:00:00.000Z</x:v>
      </x:c>
    </x:row>
    <x:row r="210" ht="70" customHeight="1">
      <x:c r="A210" s="21" t="d">
        <x:v>2026-07-31T00:00:00.000Z</x:v>
      </x:c>
      <x:c r="B210" s="19" t="str">
        <x:v>Source report date. Released / rolling out. Availability precision: Month only</x:v>
      </x:c>
      <x:c r="C210" s="19" t="str">
        <x:v>Copilot Search</x:v>
      </x:c>
      <x:c r="D210" s="19" t="str">
        <x:v>Concise search answers</x:v>
      </x:c>
      <x:c r="E210" s="19" t="str">
        <x:v>Shorter answers and clearer chat continuation.</x:v>
      </x:c>
      <x:c r="F210" s="23" t="str">
        <x:v>Low</x:v>
      </x:c>
      <x:c r="G210" s="19" t="str">
        <x:v>Scan an answer quickly, then open follow-up chat for clarification.</x:v>
      </x:c>
      <x:c r="H210" s="19" t="str">
        <x:v>Reduces reading and navigation friction without changing the underlying evidence sources.</x:v>
      </x:c>
      <x:c r="I210" s="19" t="str">
        <x:v>Released / rolling out</x:v>
      </x:c>
      <x:c r="J210" s="19" t="str">
        <x:v>Relevant Microsoft 365 Copilot entitlement; announcement does not fully specify licensing
Tenant availability and applicable admin policy must be checked</x:v>
      </x:c>
      <x:c r="K210" s="19" t="str">
        <x:v>2026-07</x:v>
      </x:c>
      <x:c r="L210"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0" s="25" t="str"/>
      <x:c r="N210" s="20" t="d">
        <x:v>2026-07-31T00:00:00.000Z</x:v>
      </x:c>
      <x:c r="O210" s="20" t="d">
        <x:v>2026-10-16T00:00:00.000Z</x:v>
      </x:c>
      <x:c r="P210" s="24" t="str">
        <x:v>COP-1B60ACE17F</x:v>
      </x:c>
      <x:c r="Q210" s="19" t="str">
        <x:v>Released / rolling out</x:v>
      </x:c>
      <x:c r="R210" s="19" t="str">
        <x:v> Month-only July may predate July16.</x:v>
      </x:c>
      <x:c r="S210" s="19"/>
      <x:c r="T210" s="19"/>
      <x:c r="U210" s="20" t="d">
        <x:v>2026-07-31T00:00:00.000Z</x:v>
      </x:c>
    </x:row>
    <x:row r="211" ht="70" customHeight="1">
      <x:c r="A211" s="21" t="d">
        <x:v>2026-07-31T00:00:00.000Z</x:v>
      </x:c>
      <x:c r="B211" s="19" t="str">
        <x:v>Source report date. Released / rolling out. Availability precision: Month only</x:v>
      </x:c>
      <x:c r="C211" s="19" t="str">
        <x:v>Copilot Search governance</x:v>
      </x:c>
      <x:c r="D211" s="19" t="str">
        <x:v>Web-domain exclusions</x:v>
      </x:c>
      <x:c r="E211" s="19" t="str">
        <x:v>Administrators can exclude up to 1,000 web domains.</x:v>
      </x:c>
      <x:c r="F211" s="23" t="str">
        <x:v>Medium</x:v>
      </x:c>
      <x:c r="G211" s="19" t="str">
        <x:v>Reduce inappropriate evidence sources in research workflows while keeping a reviewable governance policy.</x:v>
      </x:c>
      <x:c r="H211" s="19" t="str">
        <x:v>Provides a scalable control over research inputs where source quality affects business decisions. The productivity benefit is indirect and mainly affects administrators or purchasing decisions.</x:v>
      </x:c>
      <x:c r="I211" s="19" t="str">
        <x:v>Released / rolling out</x:v>
      </x:c>
      <x:c r="J211" s="19" t="str">
        <x:v>Microsoft 365 Copilot; confirm tenant entitlement
Not specified in announcement; verify tenant availability</x:v>
      </x:c>
      <x:c r="K211" s="19" t="str">
        <x:v>2026-07</x:v>
      </x:c>
      <x:c r="L211"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1" s="25" t="str"/>
      <x:c r="N211" s="20" t="d">
        <x:v>2026-07-31T00:00:00.000Z</x:v>
      </x:c>
      <x:c r="O211" s="20" t="d">
        <x:v>2026-10-16T00:00:00.000Z</x:v>
      </x:c>
      <x:c r="P211" s="24" t="str">
        <x:v>COP-3CCB097DEA</x:v>
      </x:c>
      <x:c r="Q211" s="19" t="str">
        <x:v>Released / rolling out</x:v>
      </x:c>
      <x:c r="R211" s="19" t="str">
        <x:v>July-only availability precision; exact release day is unverified.</x:v>
      </x:c>
      <x:c r="S211" s="19" t="str"/>
      <x:c r="T211" s="19" t="str"/>
      <x:c r="U211" s="20" t="d">
        <x:v>2026-07-31T00:00:00.000Z</x:v>
      </x:c>
    </x:row>
    <x:row r="212" ht="70" customHeight="1">
      <x:c r="A212" s="21" t="d">
        <x:v>2026-07-31T00:00:00.000Z</x:v>
      </x:c>
      <x:c r="B212" s="19" t="str">
        <x:v>Source report date. Released / rolling out. Availability precision: Month only</x:v>
      </x:c>
      <x:c r="C212" s="19" t="str">
        <x:v>PowerPoint</x:v>
      </x:c>
      <x:c r="D212" s="19" t="str">
        <x:v>Comment actions</x:v>
      </x:c>
      <x:c r="E212" s="19" t="str">
        <x:v>Create, answer, and resolve slide comments conversationally.</x:v>
      </x:c>
      <x:c r="F212" s="23" t="str">
        <x:v>Medium</x:v>
      </x:c>
      <x:c r="G212" s="19" t="str">
        <x:v>Work through a bid-review deck without manually opening and updating each comment thread.</x:v>
      </x:c>
      <x:c r="H212" s="19" t="str">
        <x:v>Speeds review-thread housekeeping but leaves the substantive approval process unchanged.</x:v>
      </x:c>
      <x:c r="I212" s="19" t="str">
        <x:v>Released / rolling out</x:v>
      </x:c>
      <x:c r="J212" s="19" t="str">
        <x:v>Microsoft 365 Copilot; confirm tenant entitlement
Not specified in announcement; verify tenant availability</x:v>
      </x:c>
      <x:c r="K212" s="19" t="str">
        <x:v>2026-07</x:v>
      </x:c>
      <x:c r="L212"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2" s="25" t="str"/>
      <x:c r="N212" s="20" t="d">
        <x:v>2026-07-31T00:00:00.000Z</x:v>
      </x:c>
      <x:c r="O212" s="20" t="d">
        <x:v>2026-10-16T00:00:00.000Z</x:v>
      </x:c>
      <x:c r="P212" s="24" t="str">
        <x:v>COP-C053A26F9C</x:v>
      </x:c>
      <x:c r="Q212" s="19" t="str">
        <x:v>Released / rolling out</x:v>
      </x:c>
      <x:c r="R212" s="19" t="str">
        <x:v>July-only availability precision; exact release day is unverified.</x:v>
      </x:c>
      <x:c r="S212" s="19" t="str"/>
      <x:c r="T212" s="19" t="str"/>
      <x:c r="U212" s="20" t="d">
        <x:v>2026-07-31T00:00:00.000Z</x:v>
      </x:c>
    </x:row>
    <x:row r="213" ht="70" customHeight="1">
      <x:c r="A213" s="21" t="d">
        <x:v>2026-07-31T00:00:00.000Z</x:v>
      </x:c>
      <x:c r="B213" s="19" t="str">
        <x:v>Source report date. Released / rolling out. Availability precision: Month only</x:v>
      </x:c>
      <x:c r="C213" s="19" t="str">
        <x:v>PowerPoint</x:v>
      </x:c>
      <x:c r="D213" s="19" t="str">
        <x:v>Mobile multi-step editing</x:v>
      </x:c>
      <x:c r="E213" s="19" t="str">
        <x:v>iOS and iPad gain multi-step actions, file grounding, and background work.</x:v>
      </x:c>
      <x:c r="F213" s="23" t="str">
        <x:v>Medium</x:v>
      </x:c>
      <x:c r="G213" s="19" t="str">
        <x:v>Request edits between meetings and return to review the resulting presentation.</x:v>
      </x:c>
      <x:c r="H213" s="19" t="str">
        <x:v>Makes meaningful deck work possible away from a desktop for mobile-heavy teams.</x:v>
      </x:c>
      <x:c r="I213" s="19" t="str">
        <x:v>Released / rolling out</x:v>
      </x:c>
      <x:c r="J213" s="19" t="str">
        <x:v>Microsoft 365 Copilot; confirm tenant entitlement
iOS and iPad</x:v>
      </x:c>
      <x:c r="K213" s="19" t="str">
        <x:v>2026-07</x:v>
      </x:c>
      <x:c r="L213"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3" s="25" t="str"/>
      <x:c r="N213" s="20" t="d">
        <x:v>2026-07-31T00:00:00.000Z</x:v>
      </x:c>
      <x:c r="O213" s="20" t="d">
        <x:v>2026-10-16T00:00:00.000Z</x:v>
      </x:c>
      <x:c r="P213" s="24" t="str">
        <x:v>COP-F0EB5AB04C</x:v>
      </x:c>
      <x:c r="Q213" s="19" t="str">
        <x:v>Released / rolling out</x:v>
      </x:c>
      <x:c r="R213" s="19" t="str">
        <x:v>July-only availability precision; exact release day is unverified.</x:v>
      </x:c>
      <x:c r="S213" s="19" t="str"/>
      <x:c r="T213" s="19" t="str"/>
      <x:c r="U213" s="20" t="d">
        <x:v>2026-07-31T00:00:00.000Z</x:v>
      </x:c>
    </x:row>
    <x:row r="214" ht="70" customHeight="1">
      <x:c r="A214" s="21" t="d">
        <x:v>2026-07-31T00:00:00.000Z</x:v>
      </x:c>
      <x:c r="B214" s="19" t="str">
        <x:v>Source report date. Released / rolling out. Availability precision: Month only</x:v>
      </x:c>
      <x:c r="C214" s="19" t="str">
        <x:v>SharePoint / OneDrive administration</x:v>
      </x:c>
      <x:c r="D214" s="19" t="str">
        <x:v>Agent access heatmap</x:v>
      </x:c>
      <x:c r="E214" s="19" t="str">
        <x:v>Visualizes agent access activity.</x:v>
      </x:c>
      <x:c r="F214" s="23" t="str">
        <x:v>Medium</x:v>
      </x:c>
      <x:c r="G214" s="19" t="str">
        <x:v>Review hotspots before expanding an agent pilot.</x:v>
      </x:c>
      <x:c r="H214" s="19" t="str">
        <x:v>Helps administrators focus investigation on unusual access patterns.</x:v>
      </x:c>
      <x:c r="I214" s="19" t="str">
        <x:v>Released / rolling out</x:v>
      </x:c>
      <x:c r="J214" s="19" t="str">
        <x:v>Relevant Microsoft 365 Copilot entitlement; announcement does not fully specify licensing
Tenant availability and applicable admin policy must be checked</x:v>
      </x:c>
      <x:c r="K214" s="19" t="str">
        <x:v>2026-07</x:v>
      </x:c>
      <x:c r="L214"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4" s="25" t="str"/>
      <x:c r="N214" s="20" t="d">
        <x:v>2026-07-31T00:00:00.000Z</x:v>
      </x:c>
      <x:c r="O214" s="20" t="d">
        <x:v>2026-10-16T00:00:00.000Z</x:v>
      </x:c>
      <x:c r="P214" s="24" t="str">
        <x:v>COP-4395B27FD0</x:v>
      </x:c>
      <x:c r="Q214" s="19" t="str">
        <x:v>Released / rolling out</x:v>
      </x:c>
      <x:c r="R214" s="19" t="str">
        <x:v> Month-only July may predate July16.</x:v>
      </x:c>
      <x:c r="S214" s="19" t="str"/>
      <x:c r="T214" s="19" t="str"/>
      <x:c r="U214" s="20" t="d">
        <x:v>2026-07-31T00:00:00.000Z</x:v>
      </x:c>
    </x:row>
    <x:row r="215" ht="70" customHeight="1">
      <x:c r="A215" s="21" t="d">
        <x:v>2026-07-31T00:00:00.000Z</x:v>
      </x:c>
      <x:c r="B215" s="19" t="str">
        <x:v>Source report date. Released / rolling out. Availability precision: Month only</x:v>
      </x:c>
      <x:c r="C215" s="19" t="str">
        <x:v>Teams</x:v>
      </x:c>
      <x:c r="D215" s="19" t="str">
        <x:v>Meeting Recaps app</x:v>
      </x:c>
      <x:c r="E215" s="19" t="str">
        <x:v>Centralized AI recaps cover the preceding 30 days.</x:v>
      </x:c>
      <x:c r="F215" s="23" t="str">
        <x:v>Medium</x:v>
      </x:c>
      <x:c r="G215" s="19" t="str">
        <x:v>Catch up after leave using one recap queue rather than opening individual meetings.</x:v>
      </x:c>
      <x:c r="H215" s="19" t="str">
        <x:v>Reduces the effort of catching up across several missed meetings.</x:v>
      </x:c>
      <x:c r="I215" s="19" t="str">
        <x:v>Released / rolling out</x:v>
      </x:c>
      <x:c r="J215" s="19" t="str">
        <x:v>Microsoft 365 Copilot; confirm tenant entitlement
Not specified in announcement; verify tenant availability</x:v>
      </x:c>
      <x:c r="K215" s="19" t="str">
        <x:v>2026-07</x:v>
      </x:c>
      <x:c r="L215"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5" s="25" t="str"/>
      <x:c r="N215" s="20" t="d">
        <x:v>2026-07-31T00:00:00.000Z</x:v>
      </x:c>
      <x:c r="O215" s="20" t="d">
        <x:v>2026-10-16T00:00:00.000Z</x:v>
      </x:c>
      <x:c r="P215" s="24" t="str">
        <x:v>COP-DBB2211F60</x:v>
      </x:c>
      <x:c r="Q215" s="19" t="str">
        <x:v>Released / rolling out</x:v>
      </x:c>
      <x:c r="R215" s="19" t="str">
        <x:v>July-only availability precision; exact release day is unverified.</x:v>
      </x:c>
      <x:c r="S215" s="19" t="str"/>
      <x:c r="T215" s="19" t="str"/>
      <x:c r="U215" s="20" t="d">
        <x:v>2026-07-31T00:00:00.000Z</x:v>
      </x:c>
    </x:row>
    <x:row r="216" ht="70" customHeight="1">
      <x:c r="A216" s="21" t="d">
        <x:v>2026-07-31T00:00:00.000Z</x:v>
      </x:c>
      <x:c r="B216" s="19" t="str">
        <x:v>Source report date. Released / rolling out. Availability precision: Month only</x:v>
      </x:c>
      <x:c r="C216" s="19" t="str">
        <x:v>Word</x:v>
      </x:c>
      <x:c r="D216" s="19" t="str">
        <x:v>Document structure editing</x:v>
      </x:c>
      <x:c r="E216" s="19" t="str">
        <x:v>Copilot manages contents tables, headers, footers, numbering, dates, and footnotes.</x:v>
      </x:c>
      <x:c r="F216" s="23" t="str">
        <x:v>Medium</x:v>
      </x:c>
      <x:c r="G216" s="19" t="str">
        <x:v>Reduce formatting work when converting a rough proposal into a review-ready report.</x:v>
      </x:c>
      <x:c r="H216" s="19" t="str">
        <x:v>Removes repetitive report-formatting work, while content and formatting still need review.</x:v>
      </x:c>
      <x:c r="I216" s="19" t="str">
        <x:v>Released / rolling out</x:v>
      </x:c>
      <x:c r="J216" s="19" t="str">
        <x:v>Microsoft 365 Copilot; confirm tenant entitlement
Not specified in announcement; verify tenant availability</x:v>
      </x:c>
      <x:c r="K216" s="19" t="str">
        <x:v>2026-07</x:v>
      </x:c>
      <x:c r="L216" s="25" t="str">
        <x:f>IFERROR(HYPERLINK("https://techcommunity.microsoft.com/blog/microsoft-copilot-blog/what%E2%80%99s-new-in-microsoft-365-copilot--july-2026/4538332","What’s New in Microsoft 365 Copilot | July 2026"),"What’s New in Microsoft 365 Copilot | July 2026")</x:f>
        <x:v>What’s New in Microsoft 365 Copilot | July 2026</x:v>
      </x:c>
      <x:c r="M216" s="25" t="str"/>
      <x:c r="N216" s="20" t="d">
        <x:v>2026-07-31T00:00:00.000Z</x:v>
      </x:c>
      <x:c r="O216" s="20" t="d">
        <x:v>2026-10-16T00:00:00.000Z</x:v>
      </x:c>
      <x:c r="P216" s="24" t="str">
        <x:v>COP-733AC49EAE</x:v>
      </x:c>
      <x:c r="Q216" s="19" t="str">
        <x:v>Released / rolling out</x:v>
      </x:c>
      <x:c r="R216" s="19" t="str">
        <x:v>July-only availability precision; exact release day is unverified.</x:v>
      </x:c>
      <x:c r="S216" s="19" t="str"/>
      <x:c r="T216" s="19" t="str"/>
      <x:c r="U216" s="20" t="d">
        <x:v>2026-07-31T00:00:00.000Z</x:v>
      </x:c>
    </x:row>
    <x:row r="217" ht="70" customHeight="1">
      <x:c r="A217" s="21" t="d">
        <x:v>2026-07-29T00:00:00.000Z</x:v>
      </x:c>
      <x:c r="B217" s="19" t="str">
        <x:v>Source report date. GA release-note batch. Availability precision: Window / relative timing</x:v>
      </x:c>
      <x:c r="C217" s="19" t="str">
        <x:v>Agent Builder</x:v>
      </x:c>
      <x:c r="D217" s="19" t="str">
        <x:v>SharePoint list grounding</x:v>
      </x:c>
      <x:c r="E217" s="19" t="str">
        <x:v>Use structured list knowledge.</x:v>
      </x:c>
      <x:c r="F217" s="23" t="str">
        <x:v>High</x:v>
      </x:c>
      <x:c r="G217" s="19" t="str">
        <x:v>Ground a narrow business assistant in an operational register.</x:v>
      </x:c>
      <x:c r="H217" s="19" t="str">
        <x:v>Makes structured operational lists directly usable as agent knowledge.</x:v>
      </x:c>
      <x:c r="I217" s="19" t="str">
        <x:v>GA release-note batch</x:v>
      </x:c>
      <x:c r="J217" s="19" t="str">
        <x:v>Microsoft 365 Copilot; confirm tenant entitlement
Windows, web</x:v>
      </x:c>
      <x:c r="K217" s="19" t="str">
        <x:v>2026-07-15 to 2026-07-29</x:v>
      </x:c>
      <x:c r="L217" s="25" t="str">
        <x:f>IFERROR(HYPERLINK("https://learn.microsoft.com/en-us/microsoft-365/copilot/release-notes","Microsoft 365 Copilot release notes"),"Microsoft 365 Copilot release notes")</x:f>
        <x:v>Microsoft 365 Copilot release notes</x:v>
      </x:c>
      <x:c r="M217" s="25" t="str"/>
      <x:c r="N217" s="20" t="d">
        <x:v>2026-07-29T00:00:00.000Z</x:v>
      </x:c>
      <x:c r="O217" s="20" t="d">
        <x:v>2026-10-16T00:00:00.000Z</x:v>
      </x:c>
      <x:c r="P217" s="24" t="str">
        <x:v>COP-256FE77522</x:v>
      </x:c>
      <x:c r="Q217" s="19" t="str">
        <x:v>GA release-note batch</x:v>
      </x:c>
      <x:c r="R217" s="19" t="str">
        <x:v>July29 release batch. Release-note batch says July15–29, overlapping July16 lower boundary; individual release date unverified.</x:v>
      </x:c>
      <x:c r="S217" s="19" t="str"/>
      <x:c r="T217" s="19" t="str"/>
      <x:c r="U217" s="20" t="d">
        <x:v>2026-07-29T00:00:00.000Z</x:v>
      </x:c>
    </x:row>
    <x:row r="218" ht="85" customHeight="1">
      <x:c r="A218" s="21" t="d">
        <x:v>2026-07-29T00:00:00.000Z</x:v>
      </x:c>
      <x:c r="B218" s="19" t="str">
        <x:v>Source report date. General-release milestone. Availability precision: Window</x:v>
      </x:c>
      <x:c r="C218" s="19" t="str">
        <x:v>Copilot Chat</x:v>
      </x:c>
      <x:c r="D218" s="19" t="str">
        <x:v>Attachment discovery</x:v>
      </x:c>
      <x:c r="E218" s="19" t="str">
        <x:v>Copilot can identify file attachments that a user has sent or received through email.</x:v>
      </x:c>
      <x:c r="F218" s="23" t="str">
        <x:v>Medium</x:v>
      </x:c>
      <x:c r="G218" s="19" t="str">
        <x:v>Find which files were exchanged with a project group without opening each message manually.</x:v>
      </x:c>
      <x:c r="H218" s="19" t="str">
        <x:v>Improves retrieval of materials scattered across email.</x:v>
      </x:c>
      <x:c r="I218" s="19" t="str">
        <x:v>Generally available / staged rollout</x:v>
      </x:c>
      <x:c r="J218" s="19" t="str">
        <x:v>Unconfirmed; entry does not specify entitlement
Android, Windows, iOS, Mac, Web; regions unconfirmed</x:v>
      </x:c>
      <x:c r="K218" s="19" t="str">
        <x:v>2026-07-15 to 2026-07-29</x:v>
      </x:c>
      <x:c r="L218" s="25" t="str">
        <x:f>IFERROR(HYPERLINK("https://learn.microsoft.com/en-us/microsoft-365/copilot/release-notes#july-29-2026","Microsoft 365 Copilot release notes"),"Microsoft 365 Copilot release notes")</x:f>
        <x:v>Microsoft 365 Copilot release notes</x:v>
      </x:c>
      <x:c r="M218" s="25"/>
      <x:c r="N218" s="20" t="d">
        <x:v>2026-07-29T00:00:00.000Z</x:v>
      </x:c>
      <x:c r="O218" s="20" t="d">
        <x:v>2026-10-16T00:00:00.000Z</x:v>
      </x:c>
      <x:c r="P218" s="24" t="str">
        <x:v>COP-8048DE666E</x:v>
      </x:c>
      <x:c r="Q218" s="19" t="str">
        <x:v>General-release milestone</x:v>
      </x:c>
      <x:c r="R218" s="19" t="str">
        <x:v>Release-note batch gives a general-release window, not an exact first-launch date. Tenant rollout can be staged. Conversational attachment discovery is distinct from direct attachment pills in Search results. Exact day within the reported release window is unverified.</x:v>
      </x:c>
      <x:c r="S218" s="19" t="str"/>
      <x:c r="T218" s="19" t="str">
        <x:v>497909</x:v>
      </x:c>
      <x:c r="U218" s="20" t="d">
        <x:v>2026-07-29T00:00:00.000Z</x:v>
      </x:c>
    </x:row>
    <x:row r="219" ht="70" customHeight="1">
      <x:c r="A219" s="21" t="d">
        <x:v>2026-07-29T00:00:00.000Z</x:v>
      </x:c>
      <x:c r="B219" s="19" t="str">
        <x:v>Source report date. General-release milestone. Availability precision: Window</x:v>
      </x:c>
      <x:c r="C219" s="19" t="str">
        <x:v>Copilot Chat</x:v>
      </x:c>
      <x:c r="D219" s="19" t="str">
        <x:v>Inline visuals</x:v>
      </x:c>
      <x:c r="E219" s="19" t="str">
        <x:v>Copilot responses can include images drawn from referenced files and meetings within the answer.</x:v>
      </x:c>
      <x:c r="F219" s="23" t="str">
        <x:v>Medium</x:v>
      </x:c>
      <x:c r="G219" s="19" t="str">
        <x:v>Inspect a chart or diagram alongside the written answer when reviewing project evidence.</x:v>
      </x:c>
      <x:c r="H219" s="19" t="str">
        <x:v>Visual evidence can clarify information that prose alone obscures.</x:v>
      </x:c>
      <x:c r="I219" s="19" t="str">
        <x:v>Generally available / staged rollout</x:v>
      </x:c>
      <x:c r="J219" s="19" t="str">
        <x:v>Unconfirmed; entry does not specify entitlement
Windows, Web; regions unconfirmed</x:v>
      </x:c>
      <x:c r="K219" s="19" t="str">
        <x:v>2026-07-15 to 2026-07-29</x:v>
      </x:c>
      <x:c r="L219" s="25" t="str">
        <x:f>IFERROR(HYPERLINK("https://learn.microsoft.com/en-us/microsoft-365/copilot/release-notes#july-29-2026","Microsoft 365 Copilot release notes"),"Microsoft 365 Copilot release notes")</x:f>
        <x:v>Microsoft 365 Copilot release notes</x:v>
      </x:c>
      <x:c r="M219" s="25" t="str"/>
      <x:c r="N219" s="20" t="d">
        <x:v>2026-07-29T00:00:00.000Z</x:v>
      </x:c>
      <x:c r="O219" s="20" t="d">
        <x:v>2026-10-16T00:00:00.000Z</x:v>
      </x:c>
      <x:c r="P219" s="24" t="str">
        <x:v>COP-3DDED608B2</x:v>
      </x:c>
      <x:c r="Q219" s="19" t="str">
        <x:v>General-release milestone</x:v>
      </x:c>
      <x:c r="R219" s="19" t="str">
        <x:v>Release-note batch gives a general-release window, not an exact first-launch date. Tenant rollout can be staged. Exact day within the reported release window is unverified.</x:v>
      </x:c>
      <x:c r="S219" s="19" t="str"/>
      <x:c r="T219" s="19"/>
      <x:c r="U219" s="20" t="d">
        <x:v>2026-07-29T00:00:00.000Z</x:v>
      </x:c>
    </x:row>
    <x:row r="220" ht="85" customHeight="1">
      <x:c r="A220" s="21" t="d">
        <x:v>2026-07-29T00:00:00.000Z</x:v>
      </x:c>
      <x:c r="B220" s="19" t="str">
        <x:v>Source report date. General-release milestone. Availability precision: Window</x:v>
      </x:c>
      <x:c r="C220" s="19" t="str">
        <x:v>Copilot Chat</x:v>
      </x:c>
      <x:c r="D220" s="19" t="str">
        <x:v>List grounding</x:v>
      </x:c>
      <x:c r="E220" s="19" t="str">
        <x:v>The Context IQ picker in Copilot Chat can find and select SharePoint lists to ground a prompt.</x:v>
      </x:c>
      <x:c r="F220" s="23" t="str">
        <x:v>Medium</x:v>
      </x:c>
      <x:c r="G220" s="19" t="str">
        <x:v>Use a structured issue list as prompt context when preparing a status explanation.</x:v>
      </x:c>
      <x:c r="H220" s="19" t="str">
        <x:v>Makes operational list data more directly usable in chat.</x:v>
      </x:c>
      <x:c r="I220" s="19" t="str">
        <x:v>Generally available / staged rollout</x:v>
      </x:c>
      <x:c r="J220" s="19" t="str">
        <x:v>Unconfirmed; entry does not specify entitlement
Web; regions unconfirmed</x:v>
      </x:c>
      <x:c r="K220" s="19" t="str">
        <x:v>2026-07-15 to 2026-07-29</x:v>
      </x:c>
      <x:c r="L220" s="25" t="str">
        <x:f>IFERROR(HYPERLINK("https://learn.microsoft.com/en-us/microsoft-365/copilot/release-notes#july-29-2026","Microsoft 365 Copilot release notes"),"Microsoft 365 Copilot release notes")</x:f>
        <x:v>Microsoft 365 Copilot release notes</x:v>
      </x:c>
      <x:c r="M220" s="25" t="str"/>
      <x:c r="N220" s="20" t="d">
        <x:v>2026-07-29T00:00:00.000Z</x:v>
      </x:c>
      <x:c r="O220" s="20" t="d">
        <x:v>2026-10-16T00:00:00.000Z</x:v>
      </x:c>
      <x:c r="P220" s="24" t="str">
        <x:v>COP-6824DACC46</x:v>
      </x:c>
      <x:c r="Q220" s="19" t="str">
        <x:v>General-release milestone</x:v>
      </x:c>
      <x:c r="R220" s="19" t="str">
        <x:v>Release-note batch gives a general-release window, not an exact first-launch date. Tenant rollout can be staged. User prompt grounding via Context IQ is distinct from configuring an Agent Builder knowledge source. Exact day within the reported release window is unverified.</x:v>
      </x:c>
      <x:c r="S220" s="19" t="str"/>
      <x:c r="T220" s="19" t="str">
        <x:v>422308</x:v>
      </x:c>
      <x:c r="U220" s="20" t="d">
        <x:v>2026-07-29T00:00:00.000Z</x:v>
      </x:c>
    </x:row>
    <x:row r="221" ht="70" customHeight="1">
      <x:c r="A221" s="21" t="d">
        <x:v>2026-07-29T00:00:00.000Z</x:v>
      </x:c>
      <x:c r="B221" s="19" t="str">
        <x:v>Source report date. GA release-note batch. Availability precision: Window / relative timing</x:v>
      </x:c>
      <x:c r="C221" s="19" t="str">
        <x:v>Copilot Chat</x:v>
      </x:c>
      <x:c r="D221" s="19" t="str">
        <x:v>Screenshot capture</x:v>
      </x:c>
      <x:c r="E221" s="19" t="str">
        <x:v>Capture visual prompt context.</x:v>
      </x:c>
      <x:c r="F221" s="23" t="str">
        <x:v>Low</x:v>
      </x:c>
      <x:c r="G221" s="19" t="str">
        <x:v>Provide the exact visible problem when asking for assistance.</x:v>
      </x:c>
      <x:c r="H221" s="19" t="str">
        <x:v>Reduces the effort of adding visual context to a question.</x:v>
      </x:c>
      <x:c r="I221" s="19" t="str">
        <x:v>GA release-note batch</x:v>
      </x:c>
      <x:c r="J221" s="19" t="str">
        <x:v>Microsoft 365 Copilot; confirm tenant entitlement
Windows</x:v>
      </x:c>
      <x:c r="K221" s="19" t="str">
        <x:v>2026-07-15 to 2026-07-29</x:v>
      </x:c>
      <x:c r="L221" s="25" t="str">
        <x:f>IFERROR(HYPERLINK("https://learn.microsoft.com/en-us/microsoft-365/copilot/release-notes","Microsoft 365 Copilot release notes"),"Microsoft 365 Copilot release notes")</x:f>
        <x:v>Microsoft 365 Copilot release notes</x:v>
      </x:c>
      <x:c r="M221" s="25"/>
      <x:c r="N221" s="20" t="d">
        <x:v>2026-07-29T00:00:00.000Z</x:v>
      </x:c>
      <x:c r="O221" s="20" t="d">
        <x:v>2026-10-16T00:00:00.000Z</x:v>
      </x:c>
      <x:c r="P221" s="24" t="str">
        <x:v>COP-0501658975</x:v>
      </x:c>
      <x:c r="Q221" s="19" t="str">
        <x:v>GA release-note batch</x:v>
      </x:c>
      <x:c r="R221" s="19" t="str">
        <x:v>Publication July29; batch spans July16–29, not an exact feature release day. Release-note batch says July15–29, overlapping July16 lower boundary; individual release date unverified.</x:v>
      </x:c>
      <x:c r="S221" s="19" t="str"/>
      <x:c r="T221" s="19" t="str"/>
      <x:c r="U221" s="20" t="d">
        <x:v>2026-07-29T00:00:00.000Z</x:v>
      </x:c>
    </x:row>
    <x:row r="222" ht="70" customHeight="1">
      <x:c r="A222" s="21" t="d">
        <x:v>2026-07-29T00:00:00.000Z</x:v>
      </x:c>
      <x:c r="B222" s="19" t="str">
        <x:v>Source report date. General-release milestone. Availability precision: Window</x:v>
      </x:c>
      <x:c r="C222" s="19" t="str">
        <x:v>Custom engine agents</x:v>
      </x:c>
      <x:c r="D222" s="19" t="str">
        <x:v>Card refresh</x:v>
      </x:c>
      <x:c r="E222" s="19" t="str">
        <x:v>Custom engine agents can refresh adaptive cards to update the content displayed during an interaction.</x:v>
      </x:c>
      <x:c r="F222" s="23" t="str">
        <x:v>Low</x:v>
      </x:c>
      <x:c r="G222" s="19" t="str">
        <x:v>Keep a displayed task status current during an agent interaction rather than relying on an old card.</x:v>
      </x:c>
      <x:c r="H222" s="19" t="str">
        <x:v>A focused interaction improvement for custom-agent implementations.</x:v>
      </x:c>
      <x:c r="I222" s="19" t="str">
        <x:v>Generally available / staged rollout</x:v>
      </x:c>
      <x:c r="J222" s="19" t="str">
        <x:v>Unconfirmed; entry does not specify entitlement
Web; regions unconfirmed</x:v>
      </x:c>
      <x:c r="K222" s="19" t="str">
        <x:v>2026-07-15 to 2026-07-29</x:v>
      </x:c>
      <x:c r="L222" s="25" t="str">
        <x:f>IFERROR(HYPERLINK("https://learn.microsoft.com/en-us/microsoft-365/copilot/release-notes#july-29-2026","Microsoft 365 Copilot release notes"),"Microsoft 365 Copilot release notes")</x:f>
        <x:v>Microsoft 365 Copilot release notes</x:v>
      </x:c>
      <x:c r="M222" s="25" t="str"/>
      <x:c r="N222" s="20" t="d">
        <x:v>2026-07-29T00:00:00.000Z</x:v>
      </x:c>
      <x:c r="O222" s="20" t="d">
        <x:v>2026-10-16T00:00:00.000Z</x:v>
      </x:c>
      <x:c r="P222" s="24" t="str">
        <x:v>COP-62B5C24E53</x:v>
      </x:c>
      <x:c r="Q222" s="19" t="str">
        <x:v>General-release milestone</x:v>
      </x:c>
      <x:c r="R222" s="19" t="str">
        <x:v>Release-note batch gives a general-release window, not an exact first-launch date. Tenant rollout can be staged. Exact day within the reported release window is unverified.</x:v>
      </x:c>
      <x:c r="S222" s="19" t="str"/>
      <x:c r="T222" s="19" t="str"/>
      <x:c r="U222" s="20" t="d">
        <x:v>2026-07-29T00:00:00.000Z</x:v>
      </x:c>
    </x:row>
    <x:row r="223" ht="100" customHeight="1">
      <x:c r="A223" s="21" t="d">
        <x:v>2026-07-29T00:00:00.000Z</x:v>
      </x:c>
      <x:c r="B223" s="19" t="str">
        <x:v>Source report date. General-release milestone. Availability precision: Window</x:v>
      </x:c>
      <x:c r="C223" s="19" t="str">
        <x:v>OneDrive</x:v>
      </x:c>
      <x:c r="D223" s="19" t="str">
        <x:v>Preview shortcut</x:v>
      </x:c>
      <x:c r="E223" s="19" t="str">
        <x:v>OneDrive’s file preview gains a floating Copilot entry button and file-type-specific suggested prompts.</x:v>
      </x:c>
      <x:c r="F223" s="23" t="str">
        <x:v>Low</x:v>
      </x:c>
      <x:c r="G223" s="19" t="str">
        <x:v>Ask about the file already being previewed when sorting a project document set.</x:v>
      </x:c>
      <x:c r="H223" s="19" t="str">
        <x:v>Makes an existing capability easier to reach.</x:v>
      </x:c>
      <x:c r="I223" s="19" t="str">
        <x:v>Generally available / staged rollout</x:v>
      </x:c>
      <x:c r="J223" s="19" t="str">
        <x:v>Unconfirmed; entry does not specify entitlement
Web; regions unconfirmed</x:v>
      </x:c>
      <x:c r="K223" s="19" t="str">
        <x:v>2026-07-15 to 2026-07-29</x:v>
      </x:c>
      <x:c r="L223" s="25" t="str">
        <x:f>IFERROR(HYPERLINK("https://learn.microsoft.com/en-us/microsoft-365/copilot/release-notes#july-29-2026","Microsoft 365 Copilot release notes"),"Microsoft 365 Copilot release notes")</x:f>
        <x:v>Microsoft 365 Copilot release notes</x:v>
      </x:c>
      <x:c r="M223" s="25" t="str"/>
      <x:c r="N223" s="20" t="d">
        <x:v>2026-07-29T00:00:00.000Z</x:v>
      </x:c>
      <x:c r="O223" s="20" t="d">
        <x:v>2026-10-16T00:00:00.000Z</x:v>
      </x:c>
      <x:c r="P223" s="24" t="str">
        <x:v>COP-57F3D1F54F</x:v>
      </x:c>
      <x:c r="Q223" s="19" t="str">
        <x:v>General-release milestone</x:v>
      </x:c>
      <x:c r="R223" s="19" t="str">
        <x:v>The release-note batch describes a window, not an exact first-launch date. Tenant rollout can be staged. The earlier record adds suggested prompts. This record concerns the floating entry button in file preview, a smaller discovery change. Earlier related record: Suggested actions in file preview (2026-05-19).</x:v>
      </x:c>
      <x:c r="S223" s="19" t="str">
        <x:v>COP-1184EE9A72</x:v>
      </x:c>
      <x:c r="T223" s="19" t="str">
        <x:v>513432</x:v>
      </x:c>
      <x:c r="U223" s="20" t="d">
        <x:v>2026-07-29T00:00:00.000Z</x:v>
      </x:c>
    </x:row>
    <x:row r="224" ht="70" customHeight="1">
      <x:c r="A224" s="21" t="d">
        <x:v>2026-07-29T00:00:00.000Z</x:v>
      </x:c>
      <x:c r="B224" s="19" t="str">
        <x:v>Source report date. General-release milestone. Availability precision: Window</x:v>
      </x:c>
      <x:c r="C224" s="19" t="str">
        <x:v>OneNote / Copilot Notebooks</x:v>
      </x:c>
      <x:c r="D224" s="19" t="str">
        <x:v>Overview refresh</x:v>
      </x:c>
      <x:c r="E224" s="19" t="str">
        <x:v>The OneNote notebook overview is redesigned around AI summaries, key findings and shortcuts to generated outputs.</x:v>
      </x:c>
      <x:c r="F224" s="23" t="str">
        <x:v>Low</x:v>
      </x:c>
      <x:c r="G224" s="19" t="str">
        <x:v>Resume a notebook by reviewing its overview before choosing the next deliverable.</x:v>
      </x:c>
      <x:c r="H224" s="19" t="str">
        <x:v>Improves orientation within an existing notebook workflow.</x:v>
      </x:c>
      <x:c r="I224" s="19" t="str">
        <x:v>Generally available / staged rollout</x:v>
      </x:c>
      <x:c r="J224" s="19" t="str">
        <x:v>Unconfirmed; entry does not specify entitlement
Windows, Mac, Web; regions unconfirmed</x:v>
      </x:c>
      <x:c r="K224" s="19" t="str">
        <x:v>2026-07-15 to 2026-07-29</x:v>
      </x:c>
      <x:c r="L224" s="25" t="str">
        <x:f>IFERROR(HYPERLINK("https://learn.microsoft.com/en-us/microsoft-365/copilot/release-notes#july-29-2026","Microsoft 365 Copilot release notes"),"Microsoft 365 Copilot release notes")</x:f>
        <x:v>Microsoft 365 Copilot release notes</x:v>
      </x:c>
      <x:c r="M224" s="25" t="str"/>
      <x:c r="N224" s="20" t="d">
        <x:v>2026-07-29T00:00:00.000Z</x:v>
      </x:c>
      <x:c r="O224" s="20" t="d">
        <x:v>2026-10-16T00:00:00.000Z</x:v>
      </x:c>
      <x:c r="P224" s="24" t="str">
        <x:v>COP-AB07496C1F</x:v>
      </x:c>
      <x:c r="Q224" s="19" t="str">
        <x:v>General-release milestone</x:v>
      </x:c>
      <x:c r="R224" s="19" t="str">
        <x:v>Release-note batch gives a general-release window, not an exact first-launch date. Tenant rollout can be staged. Exact day within the reported release window is unverified.</x:v>
      </x:c>
      <x:c r="S224" s="19" t="str"/>
      <x:c r="T224" s="19" t="str"/>
      <x:c r="U224" s="20" t="d">
        <x:v>2026-07-29T00:00:00.000Z</x:v>
      </x:c>
    </x:row>
    <x:row r="225" ht="70" customHeight="1">
      <x:c r="A225" s="21" t="d">
        <x:v>2026-07-28T00:00:00.000Z</x:v>
      </x:c>
      <x:c r="B225" s="19" t="str">
        <x:v>Source report date. Rolling out. Availability precision: Window / relative timing</x:v>
      </x:c>
      <x:c r="C225" s="19" t="str">
        <x:v>Excel</x:v>
      </x:c>
      <x:c r="D225" s="19" t="str">
        <x:v>AutoSave-off compatibility</x:v>
      </x:c>
      <x:c r="E225" s="19" t="str">
        <x:v>Cloud workbooks can use Copilot with AutoSave disabled.</x:v>
      </x:c>
      <x:c r="F225" s="23" t="str">
        <x:v>Medium</x:v>
      </x:c>
      <x:c r="G225" s="19" t="str">
        <x:v>Use AI assistance in existing controlled workbook practices without changing the saving workflow first.</x:v>
      </x:c>
      <x:c r="H225" s="19" t="str">
        <x:v>Removes a workflow blocker for users who deliberately manage saving themselves.</x:v>
      </x:c>
      <x:c r="I225" s="19" t="str">
        <x:v>Rolling out</x:v>
      </x:c>
      <x:c r="J225" s="19" t="str">
        <x:v>Microsoft 365 Copilot; confirm tenant entitlement
Windows and Mac; cloud-saved workbooks</x:v>
      </x:c>
      <x:c r="K225" s="19" t="str">
        <x:v>2026-07 to 2026-08</x:v>
      </x:c>
      <x:c r="L225" s="25" t="str">
        <x:f>IFERROR(HYPERLINK("https://techcommunity.microsoft.com/blog/excelblog/whats-new-in-excel-july-2026/4523403","What’s New in Excel (July 2026)"),"What’s New in Excel (July 2026)")</x:f>
        <x:v>What’s New in Excel (July 2026)</x:v>
      </x:c>
      <x:c r="M225" s="25" t="str"/>
      <x:c r="N225" s="20" t="d">
        <x:v>2026-07-28T00:00:00.000Z</x:v>
      </x:c>
      <x:c r="O225" s="20" t="d">
        <x:v>2026-10-16T00:00:00.000Z</x:v>
      </x:c>
      <x:c r="P225" s="24" t="str">
        <x:v>COP-F50A9AD7E0</x:v>
      </x:c>
      <x:c r="Q225" s="19" t="str">
        <x:v>Rolling out</x:v>
      </x:c>
      <x:c r="R225" s="19" t="str">
        <x:v>July Excel blog says production rollout; July Copilot roundup targets August. Unsaved-change warning remains.</x:v>
      </x:c>
      <x:c r="S225" s="19" t="str"/>
      <x:c r="T225" s="19" t="str"/>
      <x:c r="U225" s="20" t="d">
        <x:v>2026-07-28T00:00:00.000Z</x:v>
      </x:c>
    </x:row>
    <x:row r="226" ht="70" customHeight="1">
      <x:c r="A226" s="21" t="d">
        <x:v>2026-07-28T00:00:00.000Z</x:v>
      </x:c>
      <x:c r="B226" s="19" t="str">
        <x:v>Source report date. Released / rolling out. Availability precision: Month only</x:v>
      </x:c>
      <x:c r="C226" s="19" t="str">
        <x:v>Excel</x:v>
      </x:c>
      <x:c r="D226" s="19" t="str">
        <x:v>Brand Kit formatting</x:v>
      </x:c>
      <x:c r="E226" s="19" t="str">
        <x:v>Apply organizational colors, fonts, and logos.</x:v>
      </x:c>
      <x:c r="F226" s="23" t="str">
        <x:v>Medium</x:v>
      </x:c>
      <x:c r="G226" s="19" t="str">
        <x:v>Produce consistent customer-facing analysis packs without repeatedly styling tables and charts.</x:v>
      </x:c>
      <x:c r="H226" s="19" t="str">
        <x:v>Reduces repetitive visual cleanup in workbooks shared with clients or leadership.</x:v>
      </x:c>
      <x:c r="I226" s="19" t="str">
        <x:v>Released / rolling out</x:v>
      </x:c>
      <x:c r="J226" s="19" t="str">
        <x:v>Microsoft 365 Copilot; confirm tenant entitlement
Windows, Mac, web</x:v>
      </x:c>
      <x:c r="K226" s="19" t="str">
        <x:v>2026-07</x:v>
      </x:c>
      <x:c r="L226" s="25" t="str">
        <x:f>IFERROR(HYPERLINK("https://techcommunity.microsoft.com/blog/excelblog/whats-new-in-excel-july-2026/4523403","What’s New in Excel (July 2026)"),"What’s New in Excel (July 2026)")</x:f>
        <x:v>What’s New in Excel (July 2026)</x:v>
      </x:c>
      <x:c r="M226" s="25" t="str"/>
      <x:c r="N226" s="20" t="d">
        <x:v>2026-07-28T00:00:00.000Z</x:v>
      </x:c>
      <x:c r="O226" s="20" t="d">
        <x:v>2026-10-16T00:00:00.000Z</x:v>
      </x:c>
      <x:c r="P226" s="24" t="str">
        <x:v>COP-37F1AA52C0</x:v>
      </x:c>
      <x:c r="Q226" s="19" t="str">
        <x:v>Released / rolling out</x:v>
      </x:c>
      <x:c r="R226" s="19" t="str">
        <x:v>July-only availability precision; exact release day is unverified.</x:v>
      </x:c>
      <x:c r="S226" s="19" t="str"/>
      <x:c r="T226" s="19" t="str"/>
      <x:c r="U226" s="20" t="d">
        <x:v>2026-07-28T00:00:00.000Z</x:v>
      </x:c>
    </x:row>
    <x:row r="227" ht="70" customHeight="1">
      <x:c r="A227" s="21" t="d">
        <x:v>2026-07-28T00:00:00.000Z</x:v>
      </x:c>
      <x:c r="B227" s="19" t="str">
        <x:v>Source report date. Rolling out. Availability precision: Window / relative timing</x:v>
      </x:c>
      <x:c r="C227" s="19" t="str">
        <x:v>Excel</x:v>
      </x:c>
      <x:c r="D227" s="19" t="str">
        <x:v>Power BI grounding</x:v>
      </x:c>
      <x:c r="E227" s="19" t="str">
        <x:v>Analyze governed report data with existing row-level security.</x:v>
      </x:c>
      <x:c r="F227" s="23" t="str">
        <x:v>High</x:v>
      </x:c>
      <x:c r="G227" s="19" t="str">
        <x:v>Build a business review from approved sales metrics instead of reconciling manual exports.</x:v>
      </x:c>
      <x:c r="H227" s="19" t="str">
        <x:v>Brings governed reporting context into spreadsheet analysis, reducing manual reconciliation between tools.</x:v>
      </x:c>
      <x:c r="I227" s="19" t="str">
        <x:v>Rolling out</x:v>
      </x:c>
      <x:c r="J227" s="19" t="str">
        <x:v>Microsoft 365 Copilot; confirm tenant entitlement
Windows, Mac, web</x:v>
      </x:c>
      <x:c r="K227" s="19" t="str">
        <x:v>2026-07 to 2026-08</x:v>
      </x:c>
      <x:c r="L227" s="25" t="str">
        <x:f>IFERROR(HYPERLINK("https://techcommunity.microsoft.com/blog/excelblog/whats-new-in-excel-july-2026/4523403","What’s New in Excel (July 2026)"),"What’s New in Excel (July 2026)")</x:f>
        <x:v>What’s New in Excel (July 2026)</x:v>
      </x:c>
      <x:c r="M227" s="25" t="str"/>
      <x:c r="N227" s="20" t="d">
        <x:v>2026-07-28T00:00:00.000Z</x:v>
      </x:c>
      <x:c r="O227" s="20" t="d">
        <x:v>2026-10-16T00:00:00.000Z</x:v>
      </x:c>
      <x:c r="P227" s="24" t="str">
        <x:v>COP-689B34789C</x:v>
      </x:c>
      <x:c r="Q227" s="19" t="str">
        <x:v>Rolling out</x:v>
      </x:c>
      <x:c r="R227" s="19" t="str">
        <x:v>July Excel blog says production rollout; July Copilot roundup targets August. Exact tenant date is not established.</x:v>
      </x:c>
      <x:c r="S227" s="19" t="str"/>
      <x:c r="T227" s="19" t="str"/>
      <x:c r="U227" s="20" t="d">
        <x:v>2026-07-28T00:00:00.000Z</x:v>
      </x:c>
    </x:row>
    <x:row r="228" ht="70" customHeight="1">
      <x:c r="A228" s="21" t="d">
        <x:v>2026-07-28T00:00:00.000Z</x:v>
      </x:c>
      <x:c r="B228" s="19" t="str">
        <x:v>Source report date. Released / rolling out. Availability precision: Month only</x:v>
      </x:c>
      <x:c r="C228" s="19" t="str">
        <x:v>Excel</x:v>
      </x:c>
      <x:c r="D228" s="19" t="str">
        <x:v>Richer inline citations</x:v>
      </x:c>
      <x:c r="E228" s="19" t="str">
        <x:v>Responses link more precisely to supporting content.</x:v>
      </x:c>
      <x:c r="F228" s="23" t="str">
        <x:v>Medium</x:v>
      </x:c>
      <x:c r="G228" s="19" t="str">
        <x:v>Validate the origin of figures before using an AI-assisted workbook in a client recommendation.</x:v>
      </x:c>
      <x:c r="H228" s="19" t="str">
        <x:v>Shortens the path from an AI answer to checking its workbook evidence.</x:v>
      </x:c>
      <x:c r="I228" s="19" t="str">
        <x:v>Released / rolling out</x:v>
      </x:c>
      <x:c r="J228" s="19" t="str">
        <x:v>Microsoft 365 Copilot; confirm tenant entitlement
Windows, Mac, web</x:v>
      </x:c>
      <x:c r="K228" s="19" t="str">
        <x:v>2026-07</x:v>
      </x:c>
      <x:c r="L228" s="25" t="str">
        <x:f>IFERROR(HYPERLINK("https://techcommunity.microsoft.com/blog/excelblog/whats-new-in-excel-july-2026/4523403","What’s New in Excel (July 2026)"),"What’s New in Excel (July 2026)")</x:f>
        <x:v>What’s New in Excel (July 2026)</x:v>
      </x:c>
      <x:c r="M228" s="25" t="str"/>
      <x:c r="N228" s="20" t="d">
        <x:v>2026-07-28T00:00:00.000Z</x:v>
      </x:c>
      <x:c r="O228" s="20" t="d">
        <x:v>2026-10-16T00:00:00.000Z</x:v>
      </x:c>
      <x:c r="P228" s="24" t="str">
        <x:v>COP-520AA56F03</x:v>
      </x:c>
      <x:c r="Q228" s="19" t="str">
        <x:v>Released / rolling out</x:v>
      </x:c>
      <x:c r="R228" s="19" t="str">
        <x:v>July-only availability precision; exact release day is unverified.</x:v>
      </x:c>
      <x:c r="S228" s="19" t="str"/>
      <x:c r="T228" s="19"/>
      <x:c r="U228" s="20" t="d">
        <x:v>2026-07-28T00:00:00.000Z</x:v>
      </x:c>
    </x:row>
    <x:row r="229" ht="70" customHeight="1">
      <x:c r="A229" s="21" t="d">
        <x:v>2026-07-28T00:00:00.000Z</x:v>
      </x:c>
      <x:c r="B229" s="19" t="str">
        <x:v>Source report date. Rolling out. Availability precision: Window / relative timing</x:v>
      </x:c>
      <x:c r="C229" s="19" t="str">
        <x:v>Excel</x:v>
      </x:c>
      <x:c r="D229" s="19" t="str">
        <x:v>Theme design skill</x:v>
      </x:c>
      <x:c r="E229" s="19" t="str">
        <x:v>Coordinated styling for tables, charts, and worksheet layout.</x:v>
      </x:c>
      <x:c r="F229" s="23" t="str">
        <x:v>Low</x:v>
      </x:c>
      <x:c r="G229" s="19" t="str">
        <x:v>Turn working analysis into a legible review workbook before a management meeting.</x:v>
      </x:c>
      <x:c r="H229" s="19" t="str">
        <x:v>Saves formatting time but does not materially change calculation or analysis capability.</x:v>
      </x:c>
      <x:c r="I229" s="19" t="str">
        <x:v>Rolling out</x:v>
      </x:c>
      <x:c r="J229" s="19" t="str">
        <x:v>Microsoft 365 Copilot; confirm tenant entitlement
Windows, Mac, web</x:v>
      </x:c>
      <x:c r="K229" s="19" t="str">
        <x:v>2026-07 to 2026-08</x:v>
      </x:c>
      <x:c r="L229" s="25" t="str">
        <x:f>IFERROR(HYPERLINK("https://techcommunity.microsoft.com/blog/excelblog/whats-new-in-excel-july-2026/4523403","What’s New in Excel (July 2026)"),"What’s New in Excel (July 2026)")</x:f>
        <x:v>What’s New in Excel (July 2026)</x:v>
      </x:c>
      <x:c r="M229" s="25"/>
      <x:c r="N229" s="20" t="d">
        <x:v>2026-07-28T00:00:00.000Z</x:v>
      </x:c>
      <x:c r="O229" s="20" t="d">
        <x:v>2026-10-16T00:00:00.000Z</x:v>
      </x:c>
      <x:c r="P229" s="24" t="str">
        <x:v>COP-D877386B7F</x:v>
      </x:c>
      <x:c r="Q229" s="19" t="str">
        <x:v>Rolling out</x:v>
      </x:c>
      <x:c r="R229" s="19" t="str">
        <x:v>July Excel blog presents capability as new; July Copilot roundup targets August.</x:v>
      </x:c>
      <x:c r="S229" s="19" t="str"/>
      <x:c r="T229" s="19" t="str"/>
      <x:c r="U229" s="20" t="d">
        <x:v>2026-07-28T00:00:00.000Z</x:v>
      </x:c>
    </x:row>
    <x:row r="230" ht="85" customHeight="1">
      <x:c r="A230" s="21" t="d">
        <x:v>2026-07-20T00:00:00.000Z</x:v>
      </x:c>
      <x:c r="B230" s="19" t="str">
        <x:v>Stated effective date. Preview enhancement. Availability precision: Exact day</x:v>
      </x:c>
      <x:c r="C230" s="19" t="str">
        <x:v>Teams Phone Agent</x:v>
      </x:c>
      <x:c r="D230" s="19" t="str">
        <x:v>Historical reporting</x:v>
      </x:c>
      <x:c r="E230" s="19" t="str">
        <x:v>Call-agent reporting becomes available.</x:v>
      </x:c>
      <x:c r="F230" s="23" t="str">
        <x:v>Medium</x:v>
      </x:c>
      <x:c r="G230" s="19" t="str">
        <x:v>Inspect whether automated reception helps callers or requires routing changes.</x:v>
      </x:c>
      <x:c r="H230" s="19" t="str">
        <x:v>Gives operations staff evidence to assess call outcomes and improve the service.</x:v>
      </x:c>
      <x:c r="I230" s="19" t="str">
        <x:v>Preview enhancement</x:v>
      </x:c>
      <x:c r="J230" s="19" t="str">
        <x:v>Teams Phone prerequisites plus usage-based billing in Copilot Credits; funded spending policy required
Not supported in India; admin and telephony prerequisites apply. Without configured policy or credits, falls back to Auto Attendant.</x:v>
      </x:c>
      <x:c r="K230" s="19" t="str">
        <x:v>2026-07-20</x:v>
      </x:c>
      <x:c r="L230" s="25" t="str">
        <x:f>IFERROR(HYPERLINK("https://learn.microsoft.com/en-us/microsoftteams/aa-cq-setup-teams-phone-agent","Setup - Teams Phone Agent"),"Setup - Teams Phone Agent")</x:f>
        <x:v>Setup - Teams Phone Agent</x:v>
      </x:c>
      <x:c r="M230" s="25" t="str"/>
      <x:c r="N230" s="20" t="d">
        <x:v>2026-07-20T00:00:00.000Z</x:v>
      </x:c>
      <x:c r="O230" s="20" t="d">
        <x:v>2026-10-16T00:00:00.000Z</x:v>
      </x:c>
      <x:c r="P230" s="24" t="str">
        <x:v>COP-470B57A847</x:v>
      </x:c>
      <x:c r="Q230" s="19" t="str">
        <x:v>Preview enhancement</x:v>
      </x:c>
      <x:c r="R230" s="19" t="str">
        <x:v>Date is the explicit dated changelog entry in the setup article, not an inferred page publication date.</x:v>
      </x:c>
      <x:c r="S230" s="19" t="str"/>
      <x:c r="T230" s="19"/>
      <x:c r="U230" s="20" t="d">
        <x:v>2026-07-20T00:00:00.000Z</x:v>
      </x:c>
    </x:row>
    <x:row r="231" ht="100" customHeight="1">
      <x:c r="A231" s="21" t="d">
        <x:v>2026-07-15T00:00:00.000Z</x:v>
      </x:c>
      <x:c r="B231" s="19" t="str">
        <x:v>Release-note report date. Documented GA rollout. Availability precision: Release window; exact day unknown</x:v>
      </x:c>
      <x:c r="C231" s="19" t="str">
        <x:v>Microsoft 365 admin center</x:v>
      </x:c>
      <x:c r="D231" s="19" t="str">
        <x:v>Agent Builder publishing with admin review</x:v>
      </x:c>
      <x:c r="E231" s="19" t="str">
        <x:v>Route internally built agents through approval before organization-wide discovery.</x:v>
      </x:c>
      <x:c r="F231" s="23" t="str">
        <x:v>High</x:v>
      </x:c>
      <x:c r="G231" s="19" t="str">
        <x:v>Reuse an approved policy-answering agent across departments.</x:v>
      </x:c>
      <x:c r="H231" s="19" t="str">
        <x:v>Makes internally built agents discoverable at organization scale with an approval gate.</x:v>
      </x:c>
      <x:c r="I231" s="19" t="str">
        <x:v>GA feed; staged deployment</x:v>
      </x:c>
      <x:c r="J231" s="19" t="str">
        <x:v>Not specified in dated entry; verify tenant entitlement
Windows, Web
Gradual tenant rollout; exact per-user availability is not established. Licensing is not specified in this entry.</x:v>
      </x:c>
      <x:c r="K231" s="19" t="str">
        <x:v>2026-07-01 to 2026-07-15</x:v>
      </x:c>
      <x:c r="L231" s="25" t="str">
        <x:f>IFERROR(HYPERLINK("https://learn.microsoft.com/en-us/microsoft-365/copilot/release-notes#july-15-2026","Microsoft 365 Copilot release notes — July 15, 2026"),"Microsoft 365 Copilot release notes — July 15, 2026")</x:f>
        <x:v>Microsoft 365 Copilot release notes — July 15, 2026</x:v>
      </x:c>
      <x:c r="M231" s="25" t="str">
        <x:f>IFERROR(HYPERLINK("https://learn.microsoft.com/en-us/microsoft-365/copilot/extensibility/agent-builder-submit-to-org-catalog","Additional Microsoft source"),"Additional Microsoft source")</x:f>
        <x:v>Additional Microsoft source</x:v>
      </x:c>
      <x:c r="N231" s="20" t="d">
        <x:v>2026-07-15T00:00:00.000Z</x:v>
      </x:c>
      <x:c r="O231" s="20" t="d">
        <x:v>2026-10-16T00:00:00.000Z</x:v>
      </x:c>
      <x:c r="P231" s="24" t="str">
        <x:v>COP-845E1C362F</x:v>
      </x:c>
      <x:c r="Q231" s="19" t="str">
        <x:v>Documented GA rollout</x:v>
      </x:c>
      <x:c r="R231"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231" s="19" t="str"/>
      <x:c r="T231" s="19" t="str">
        <x:v>557173</x:v>
      </x:c>
      <x:c r="U231" s="20"/>
    </x:row>
    <x:row r="232" ht="85" customHeight="1">
      <x:c r="A232" s="21" t="d">
        <x:v>2026-07-15T00:00:00.000Z</x:v>
      </x:c>
      <x:c r="B232" s="19" t="str">
        <x:v>Release-note report date. Documented GA rollout. Availability precision: Release window; exact day unknown</x:v>
      </x:c>
      <x:c r="C232" s="19" t="str">
        <x:v>Microsoft 365 Copilot</x:v>
      </x:c>
      <x:c r="D232" s="19" t="str">
        <x:v>Organization-wide prompt collections</x:v>
      </x:c>
      <x:c r="E232" s="19" t="str">
        <x:v>Administrators distribute business-specific prompt collections to their tenant.</x:v>
      </x:c>
      <x:c r="F232" s="23" t="str">
        <x:v>Medium</x:v>
      </x:c>
      <x:c r="G232" s="19" t="str">
        <x:v>Publish tested proposal-review prompts for the sales team.</x:v>
      </x:c>
      <x:c r="H232" s="19" t="str">
        <x:v>Gives staff reusable prompts aligned to actual internal workflows.</x:v>
      </x:c>
      <x:c r="I232" s="19" t="str">
        <x:v>GA feed; staged deployment</x:v>
      </x:c>
      <x:c r="J232" s="19" t="str">
        <x:v>Not specified in dated entry; verify tenant entitlement
Windows, Web
Gradual tenant rollout; exact per-user availability is not established. Licensing is not specified in this entry.</x:v>
      </x:c>
      <x:c r="K232" s="19" t="str">
        <x:v>2026-07-01 to 2026-07-15</x:v>
      </x:c>
      <x:c r="L232" s="25" t="str">
        <x:f>IFERROR(HYPERLINK("https://learn.microsoft.com/en-us/microsoft-365/copilot/release-notes#july-15-2026","Microsoft 365 Copilot release notes — July 15, 2026"),"Microsoft 365 Copilot release notes — July 15, 2026")</x:f>
        <x:v>Microsoft 365 Copilot release notes — July 15, 2026</x:v>
      </x:c>
      <x:c r="M232" s="25" t="str"/>
      <x:c r="N232" s="20" t="d">
        <x:v>2026-07-15T00:00:00.000Z</x:v>
      </x:c>
      <x:c r="O232" s="20" t="d">
        <x:v>2026-10-16T00:00:00.000Z</x:v>
      </x:c>
      <x:c r="P232" s="24" t="str">
        <x:v>COP-9C8DAD5223</x:v>
      </x:c>
      <x:c r="Q232" s="19" t="str">
        <x:v>Documented GA rollout</x:v>
      </x:c>
      <x:c r="R232" s="19" t="str">
        <x:v>Source is the official GA/Current Channel release-note feed, checked 2026-10-16. Header date is documentation date; actual release is only bounded by the stated window.</x:v>
      </x:c>
      <x:c r="S232" s="19" t="str"/>
      <x:c r="T232" s="19" t="str">
        <x:v>486695</x:v>
      </x:c>
      <x:c r="U232" s="20"/>
    </x:row>
    <x:row r="233" ht="85" customHeight="1">
      <x:c r="A233" s="21" t="d">
        <x:v>2026-07-15T00:00:00.000Z</x:v>
      </x:c>
      <x:c r="B233" s="19" t="str">
        <x:v>Release-note report date. Documented GA rollout. Availability precision: Release window; exact day unknown</x:v>
      </x:c>
      <x:c r="C233" s="19" t="str">
        <x:v>Microsoft 365 Copilot app</x:v>
      </x:c>
      <x:c r="D233" s="19" t="str">
        <x:v>Brand kits from guidelines</x:v>
      </x:c>
      <x:c r="E233" s="19" t="str">
        <x:v>Extract a reusable visual brand kit from existing brand guidance.</x:v>
      </x:c>
      <x:c r="F233" s="23" t="str">
        <x:v>Medium</x:v>
      </x:c>
      <x:c r="G233" s="19" t="str">
        <x:v>Apply one approved visual identity to recurring campaign assets.</x:v>
      </x:c>
      <x:c r="H233" s="19" t="str">
        <x:v>Reduces repeated visual-brand setup for generated assets.</x:v>
      </x:c>
      <x:c r="I233" s="19" t="str">
        <x:v>GA feed; staged deployment</x:v>
      </x:c>
      <x:c r="J233" s="19" t="str">
        <x:v>Not specified in dated entry; verify tenant entitlement
Web
Gradual tenant rollout; exact per-user availability is not established. Licensing is not specified in this entry.</x:v>
      </x:c>
      <x:c r="K233" s="19" t="str">
        <x:v>2026-07-01 to 2026-07-15</x:v>
      </x:c>
      <x:c r="L233" s="25" t="str">
        <x:f>IFERROR(HYPERLINK("https://learn.microsoft.com/en-us/microsoft-365/copilot/release-notes#july-15-2026","Microsoft 365 Copilot release notes — July 15, 2026"),"Microsoft 365 Copilot release notes — July 15, 2026")</x:f>
        <x:v>Microsoft 365 Copilot release notes — July 15, 2026</x:v>
      </x:c>
      <x:c r="M233" s="25" t="str"/>
      <x:c r="N233" s="20" t="d">
        <x:v>2026-07-15T00:00:00.000Z</x:v>
      </x:c>
      <x:c r="O233" s="20" t="d">
        <x:v>2026-10-16T00:00:00.000Z</x:v>
      </x:c>
      <x:c r="P233" s="24" t="str">
        <x:v>COP-6433B6C9AE</x:v>
      </x:c>
      <x:c r="Q233" s="19" t="str">
        <x:v>Documented GA rollout</x:v>
      </x:c>
      <x:c r="R233" s="19" t="str">
        <x:v>Source is the official GA/Current Channel release-note feed, checked 2026-10-16. Header date is documentation date; actual release is only bounded by the stated window.</x:v>
      </x:c>
      <x:c r="S233" s="19" t="str"/>
      <x:c r="T233" s="19"/>
      <x:c r="U233" s="20"/>
    </x:row>
    <x:row r="234" ht="85" customHeight="1">
      <x:c r="A234" s="21" t="d">
        <x:v>2026-07-15T00:00:00.000Z</x:v>
      </x:c>
      <x:c r="B234" s="19" t="str">
        <x:v>Release-note report date. Documented GA rollout. Availability precision: Release window; exact day unknown</x:v>
      </x:c>
      <x:c r="C234" s="19" t="str">
        <x:v>Microsoft 365 Copilot extensibility</x:v>
      </x:c>
      <x:c r="D234" s="19" t="str">
        <x:v>Central federated connector administration</x:v>
      </x:c>
      <x:c r="E234" s="19" t="str">
        <x:v>Manage federated connections alongside connectors in the Microsoft 365 admin center.</x:v>
      </x:c>
      <x:c r="F234" s="23" t="str">
        <x:v>Medium</x:v>
      </x:c>
      <x:c r="G234" s="19" t="str">
        <x:v>Review and control approved live-data integrations in one place.</x:v>
      </x:c>
      <x:c r="H234" s="19" t="str">
        <x:v>Centralizes administration of live enterprise data access.</x:v>
      </x:c>
      <x:c r="I234" s="19" t="str">
        <x:v>GA feed; staged deployment</x:v>
      </x:c>
      <x:c r="J234" s="19" t="str">
        <x:v>Not specified in dated entry; verify tenant entitlement
Web
Gradual tenant rollout; exact per-user availability is not established. Licensing is not specified in this entry.</x:v>
      </x:c>
      <x:c r="K234" s="19" t="str">
        <x:v>2026-07-01 to 2026-07-15</x:v>
      </x:c>
      <x:c r="L234" s="25" t="str">
        <x:f>IFERROR(HYPERLINK("https://learn.microsoft.com/en-us/microsoft-365/copilot/release-notes#july-15-2026","Microsoft 365 Copilot release notes — July 15, 2026"),"Microsoft 365 Copilot release notes — July 15, 2026")</x:f>
        <x:v>Microsoft 365 Copilot release notes — July 15, 2026</x:v>
      </x:c>
      <x:c r="M234" s="25" t="str">
        <x:f>IFERROR(HYPERLINK("https://learn.microsoft.com/en-us/microsoft-365/copilot/connectors/federated-connectors-overview","Additional Microsoft source"),"Additional Microsoft source")</x:f>
        <x:v>Additional Microsoft source</x:v>
      </x:c>
      <x:c r="N234" s="20" t="d">
        <x:v>2026-07-15T00:00:00.000Z</x:v>
      </x:c>
      <x:c r="O234" s="20" t="d">
        <x:v>2026-10-16T00:00:00.000Z</x:v>
      </x:c>
      <x:c r="P234" s="24" t="str">
        <x:v>COP-3328100BD5</x:v>
      </x:c>
      <x:c r="Q234" s="19" t="str">
        <x:v>Documented GA rollout</x:v>
      </x:c>
      <x:c r="R234" s="19" t="str">
        <x:v>Source is the official GA/Current Channel release-note feed, checked 2026-10-16. Header date is documentation date; actual release is only bounded by the stated window.</x:v>
      </x:c>
      <x:c r="S234" s="19" t="str"/>
      <x:c r="T234" s="19"/>
      <x:c r="U234" s="20"/>
    </x:row>
    <x:row r="235" ht="85" customHeight="1">
      <x:c r="A235" s="21" t="d">
        <x:v>2026-07-15T00:00:00.000Z</x:v>
      </x:c>
      <x:c r="B235" s="19" t="str">
        <x:v>Release-note report date. Documented GA rollout. Availability precision: Release window; exact day unknown</x:v>
      </x:c>
      <x:c r="C235" s="19" t="str">
        <x:v>Microsoft 365 Copilot extensibility</x:v>
      </x:c>
      <x:c r="D235" s="19" t="str">
        <x:v>MCP-enabled agents inside Office apps</x:v>
      </x:c>
      <x:c r="E235" s="19" t="str">
        <x:v>Use agents backed by Model Context Protocol from Office app experiences.</x:v>
      </x:c>
      <x:c r="F235" s="23" t="str">
        <x:v>High</x:v>
      </x:c>
      <x:c r="G235" s="19" t="str">
        <x:v>Bring an approved operational-system agent into document work.</x:v>
      </x:c>
      <x:c r="H235" s="19" t="str">
        <x:v>Brings external-system agent capabilities into the document workflow.</x:v>
      </x:c>
      <x:c r="I235" s="19" t="str">
        <x:v>GA feed; staged deployment</x:v>
      </x:c>
      <x:c r="J235" s="19" t="str">
        <x:v>Not specified in dated entry; verify tenant entitlement
Web
Gradual tenant rollout; exact per-user availability is not established. Licensing is not specified in this entry.</x:v>
      </x:c>
      <x:c r="K235" s="19" t="str">
        <x:v>2026-07-01 to 2026-07-15</x:v>
      </x:c>
      <x:c r="L235" s="25" t="str">
        <x:f>IFERROR(HYPERLINK("https://learn.microsoft.com/en-us/microsoft-365/copilot/release-notes#july-15-2026","Microsoft 365 Copilot release notes — July 15, 2026"),"Microsoft 365 Copilot release notes — July 15, 2026")</x:f>
        <x:v>Microsoft 365 Copilot release notes — July 15, 2026</x:v>
      </x:c>
      <x:c r="M235" s="25" t="str"/>
      <x:c r="N235" s="20" t="d">
        <x:v>2026-07-15T00:00:00.000Z</x:v>
      </x:c>
      <x:c r="O235" s="20" t="d">
        <x:v>2026-10-16T00:00:00.000Z</x:v>
      </x:c>
      <x:c r="P235" s="24" t="str">
        <x:v>COP-8CD0634C19</x:v>
      </x:c>
      <x:c r="Q235" s="19" t="str">
        <x:v>Documented GA rollout</x:v>
      </x:c>
      <x:c r="R235" s="19" t="str">
        <x:v>Source is the official GA/Current Channel release-note feed, checked 2026-10-16. Header date is documentation date; actual release is only bounded by the stated window.</x:v>
      </x:c>
      <x:c r="S235" s="19" t="str"/>
      <x:c r="T235" s="19"/>
      <x:c r="U235" s="20"/>
    </x:row>
    <x:row r="236" ht="85" customHeight="1">
      <x:c r="A236" s="21" t="d">
        <x:v>2026-07-15T00:00:00.000Z</x:v>
      </x:c>
      <x:c r="B236" s="19" t="str">
        <x:v>Release-note report date. Documented GA rollout. Availability precision: Release window; exact day unknown</x:v>
      </x:c>
      <x:c r="C236" s="19" t="str">
        <x:v>Microsoft 365 Copilot extensibility</x:v>
      </x:c>
      <x:c r="D236" s="19" t="str">
        <x:v>Nested connector permissions</x:v>
      </x:c>
      <x:c r="E236" s="19" t="str">
        <x:v>Confluence and ServiceNow connectors gain more granular nested-access handling.</x:v>
      </x:c>
      <x:c r="F236" s="23" t="str">
        <x:v>Medium</x:v>
      </x:c>
      <x:c r="G236" s="19" t="str">
        <x:v>Reduce access mismatches when searching restricted departmental knowledge.</x:v>
      </x:c>
      <x:c r="H236" s="19" t="str">
        <x:v>Improves permission fidelity for connected enterprise knowledge.</x:v>
      </x:c>
      <x:c r="I236" s="19" t="str">
        <x:v>GA feed; staged deployment</x:v>
      </x:c>
      <x:c r="J236" s="19" t="str">
        <x:v>Not specified in dated entry; verify tenant entitlement
Web
Gradual tenant rollout; exact per-user availability is not established. Licensing is not specified in this entry.</x:v>
      </x:c>
      <x:c r="K236" s="19" t="str">
        <x:v>2026-07-01 to 2026-07-15</x:v>
      </x:c>
      <x:c r="L236" s="25" t="str">
        <x:f>IFERROR(HYPERLINK("https://learn.microsoft.com/en-us/microsoft-365/copilot/release-notes#july-15-2026","Microsoft 365 Copilot release notes — July 15, 2026"),"Microsoft 365 Copilot release notes — July 15, 2026")</x:f>
        <x:v>Microsoft 365 Copilot release notes — July 15, 2026</x:v>
      </x:c>
      <x:c r="M236" s="25" t="str"/>
      <x:c r="N236" s="20" t="d">
        <x:v>2026-07-15T00:00:00.000Z</x:v>
      </x:c>
      <x:c r="O236" s="20" t="d">
        <x:v>2026-10-16T00:00:00.000Z</x:v>
      </x:c>
      <x:c r="P236" s="24" t="str">
        <x:v>COP-F2DF4BE029</x:v>
      </x:c>
      <x:c r="Q236" s="19" t="str">
        <x:v>Documented GA rollout</x:v>
      </x:c>
      <x:c r="R236" s="19" t="str">
        <x:v>Source is the official GA/Current Channel release-note feed, checked 2026-10-16. Header date is documentation date; actual release is only bounded by the stated window.</x:v>
      </x:c>
      <x:c r="S236" s="19" t="str"/>
      <x:c r="T236" s="19" t="str">
        <x:v>503587</x:v>
      </x:c>
      <x:c r="U236" s="20"/>
    </x:row>
    <x:row r="237" ht="115" customHeight="1">
      <x:c r="A237" s="21" t="d">
        <x:v>2026-07-09T00:00:00.000Z</x:v>
      </x:c>
      <x:c r="B237" s="19" t="str">
        <x:v>Release-note report date. Rolling out. Availability precision: Exact announcement day; availability month or window only</x:v>
      </x:c>
      <x:c r="C237" s="19" t="str">
        <x:v>Microsoft 365 Copilot</x:v>
      </x:c>
      <x:c r="D237" s="19" t="str">
        <x:v>GPT-5.6 model family rollout</x:v>
      </x:c>
      <x:c r="E237" s="19" t="str">
        <x:v>Roll out GPT-5.6 as a preferred model across core Copilot work surfaces.</x:v>
      </x:c>
      <x:c r="F237" s="23" t="str">
        <x:v>High</x:v>
      </x:c>
      <x:c r="G237" s="19" t="str">
        <x:v>Retest standard prompts in Word, Excel, PowerPoint and delegated tasks.</x:v>
      </x:c>
      <x:c r="H237" s="19" t="str">
        <x:v>Changes model behavior across many everyday authoring and analysis workflows.</x:v>
      </x:c>
      <x:c r="I237" s="19" t="str">
        <x:v>Rolling out</x:v>
      </x:c>
      <x:c r="J237" s="19" t="str">
        <x:v>Not specified in dated announcement; verify tenant entitlement
Word, Excel, PowerPoint, Chat and Cowork; region and tenant configuration affect availability
Rolling out. Word, Excel, PowerPoint, Chat and Cowork; region and tenant configuration affect availability. Not specified in dated announcement; verify tenant entitlement.</x:v>
      </x:c>
      <x:c r="K237" s="19" t="str">
        <x:v>2026-07-09 rollout starts</x:v>
      </x:c>
      <x:c r="L237" s="25" t="str">
        <x:f>IFERROR(HYPERLINK("https://techcommunity.microsoft.com/blog/microsoft-copilot-blog/available-today-openai%E2%80%99s-gpt-5-6-in-microsoft-365-copilot/4533152","Available today: OpenAI’s GPT-5.6 in Microsoft 365 Copilot"),"Available today: OpenAI’s GPT-5.6 in Microsoft 365 Copilot")</x:f>
        <x:v>Available today: OpenAI’s GPT-5.6 in Microsoft 365 Copilot</x:v>
      </x:c>
      <x:c r="M237" s="25" t="str"/>
      <x:c r="N237" s="20" t="d">
        <x:v>2026-07-09T00:00:00.000Z</x:v>
      </x:c>
      <x:c r="O237" s="20" t="d">
        <x:v>2026-10-16T00:00:00.000Z</x:v>
      </x:c>
      <x:c r="P237" s="24" t="str">
        <x:v>COP-6867EA0E85</x:v>
      </x:c>
      <x:c r="Q237" s="19" t="str">
        <x:v>Rolling out</x:v>
      </x:c>
      <x:c r="R237" s="19" t="str">
        <x:v>Checked 2026-10-16. Availability is the historical state stated by this source, not proof of availability for every tenant today. Do not infer a specific Sol/Terra/Luna tier from the GPT-5.6 user-facing label.</x:v>
      </x:c>
      <x:c r="S237" s="19" t="str"/>
      <x:c r="T237" s="19"/>
      <x:c r="U237" s="20" t="d">
        <x:v>2026-07-09T00:00:00.000Z</x:v>
      </x:c>
    </x:row>
    <x:row r="238" ht="115" customHeight="1">
      <x:c r="A238" s="21" t="d">
        <x:v>2026-07-09T00:00:00.000Z</x:v>
      </x:c>
      <x:c r="B238" s="19" t="str">
        <x:v>Public preview. Availability precision: Exact announcement day; exact stated availability day</x:v>
      </x:c>
      <x:c r="C238" s="19" t="str">
        <x:v>SharePoint Copilot Apps</x:v>
      </x:c>
      <x:c r="D238" s="19" t="str">
        <x:v>Interactive Copilot Apps public preview</x:v>
      </x:c>
      <x:c r="E238" s="19" t="str">
        <x:v>Build governed interactive business interfaces that run within Copilot.</x:v>
      </x:c>
      <x:c r="F238" s="23" t="str">
        <x:v>High</x:v>
      </x:c>
      <x:c r="G238" s="19" t="str">
        <x:v>Prototype an approval panel or operational dashboard within Copilot.</x:v>
      </x:c>
      <x:c r="H238" s="19" t="str">
        <x:v>Enables structured workflows and user decisions beyond a text-only response.</x:v>
      </x:c>
      <x:c r="I238" s="19" t="str">
        <x:v>Public preview</x:v>
      </x:c>
      <x:c r="J238" s="19" t="str">
        <x:v>No Microsoft 365 Copilot license required for developers during preview; future licensing may change
SPFx 1.24 preview; global end-user rollout targeted for July 20
Public preview. SPFx 1.24 preview; global end-user rollout targeted for July 20. No Microsoft 365 Copilot license required for developers during preview; future licensing may change.</x:v>
      </x:c>
      <x:c r="K238" s="19" t="str">
        <x:v>2026-07-09</x:v>
      </x:c>
      <x:c r="L238" s="25" t="str">
        <x:f>IFERROR(HYPERLINK("https://devblogs.microsoft.com/microsoft365dev/sharepoint-copilot-apps-now-in-public-preview-from-intent-to-action-in-microsoft-365-copilot/","SharePoint Copilot Apps Now in Public Preview"),"SharePoint Copilot Apps Now in Public Preview")</x:f>
        <x:v>SharePoint Copilot Apps Now in Public Preview</x:v>
      </x:c>
      <x:c r="M238" s="25" t="str"/>
      <x:c r="N238" s="20" t="d">
        <x:v>2026-07-09T00:00:00.000Z</x:v>
      </x:c>
      <x:c r="O238" s="20" t="d">
        <x:v>2026-10-16T00:00:00.000Z</x:v>
      </x:c>
      <x:c r="P238" s="24" t="str">
        <x:v>COP-518E331FAC</x:v>
      </x:c>
      <x:c r="Q238" s="19" t="str">
        <x:v>Public preview</x:v>
      </x:c>
      <x:c r="R238" s="19" t="str">
        <x:v>Checked 2026-10-16. Availability is the historical state stated by this source, not proof of availability for every tenant today. Developer availability July 9 is exact. July 20 worldwide functionality was a forecast, outside this period.</x:v>
      </x:c>
      <x:c r="S238" s="19" t="str"/>
      <x:c r="T238" s="19" t="str"/>
      <x:c r="U238" s="20" t="d">
        <x:v>2026-07-09T00:00:00.000Z</x:v>
      </x:c>
    </x:row>
    <x:row r="239" ht="115" customHeight="1">
      <x:c r="A239" s="21" t="d">
        <x:v>2026-07-02T00:00:00.000Z</x:v>
      </x:c>
      <x:c r="B239" s="19" t="str">
        <x:v>GA. Availability precision: Exact announcement day; exact stated availability day</x:v>
      </x:c>
      <x:c r="C239" s="19" t="str">
        <x:v>Sales Agent</x:v>
      </x:c>
      <x:c r="D239" s="19" t="str">
        <x:v>Sales Agent generally available</x:v>
      </x:c>
      <x:c r="E239" s="19" t="str">
        <x:v>Bring CRM and work context together for sales preparation and follow-up.</x:v>
      </x:c>
      <x:c r="F239" s="23" t="str">
        <x:v>High</x:v>
      </x:c>
      <x:c r="G239" s="19" t="str">
        <x:v>Summarize an opportunity, capture meeting notes and update relevant CRM fields.</x:v>
      </x:c>
      <x:c r="H239" s="19" t="str">
        <x:v>Reduces repeated customer-context gathering and post-meeting CRM administration.</x:v>
      </x:c>
      <x:c r="I239" s="19" t="str">
        <x:v>GA</x:v>
      </x:c>
      <x:c r="J239" s="19" t="str">
        <x:v>Not specified in announcement; CRM connectivity and relevant permissions required
Includes Outlook Mobile and Copilot app mobile use; Dynamics 365 Sales integration described
GA. Includes Outlook Mobile and Copilot app mobile use; Dynamics 365 Sales integration described. Not specified in announcement; CRM connectivity and relevant permissions required.</x:v>
      </x:c>
      <x:c r="K239" s="19" t="str">
        <x:v>2026-07-02</x:v>
      </x:c>
      <x:c r="L239" s="25" t="str">
        <x:f>IFERROR(HYPERLINK("https://techcommunity.microsoft.com/blog/microsoft365copilotblog/sales-agent-is-now-generally-available-bringing-customer-and-deal-intelligence-i/4532629","Sales Agent is now generally available"),"Sales Agent is now generally available")</x:f>
        <x:v>Sales Agent is now generally available</x:v>
      </x:c>
      <x:c r="M239" s="25" t="str"/>
      <x:c r="N239" s="20" t="d">
        <x:v>2026-07-02T00:00:00.000Z</x:v>
      </x:c>
      <x:c r="O239" s="20" t="d">
        <x:v>2026-10-16T00:00:00.000Z</x:v>
      </x:c>
      <x:c r="P239" s="24" t="str">
        <x:v>COP-98148070D0</x:v>
      </x:c>
      <x:c r="Q239" s="19" t="str">
        <x:v>GA</x:v>
      </x:c>
      <x:c r="R239" s="19" t="str">
        <x:v>Checked 2026-10-16. Availability is the historical state stated by this source, not proof of availability for every tenant today. </x:v>
      </x:c>
      <x:c r="S239" s="19" t="str"/>
      <x:c r="T239" s="19" t="str"/>
      <x:c r="U239" s="20" t="d">
        <x:v>2026-07-02T00:00:00.000Z</x:v>
      </x:c>
    </x:row>
    <x:row r="240" ht="85" customHeight="1">
      <x:c r="A240" s="21" t="d">
        <x:v>2026-07-01T00:00:00.000Z</x:v>
      </x:c>
      <x:c r="B240" s="19" t="str">
        <x:v>Release-note report date. Documented GA rollout. Availability precision: Release window; exact day unknown</x:v>
      </x:c>
      <x:c r="C240" s="19" t="str">
        <x:v>Microsoft 365 Copilot app</x:v>
      </x:c>
      <x:c r="D240" s="19" t="str">
        <x:v>Agent progress in Windows taskbar</x:v>
      </x:c>
      <x:c r="E240" s="19" t="str">
        <x:v>Track long-running agent work through Windows taskbar integration.</x:v>
      </x:c>
      <x:c r="F240" s="23" t="str">
        <x:v>Low</x:v>
      </x:c>
      <x:c r="G240" s="19" t="str">
        <x:v>Check a research job while working in another application.</x:v>
      </x:c>
      <x:c r="H240" s="19" t="str">
        <x:v>Reduces the need to reopen an agent merely to check progress.</x:v>
      </x:c>
      <x:c r="I240" s="19" t="str">
        <x:v>GA feed; staged deployment</x:v>
      </x:c>
      <x:c r="J240" s="19" t="str">
        <x:v>Not specified in dated entry; verify tenant entitlement
Windows
Gradual tenant rollout; exact per-user availability is not established. Licensing is not specified in this entry.</x:v>
      </x:c>
      <x:c r="K240" s="19" t="str">
        <x:v>2026-06-16 to 2026-07-01</x:v>
      </x:c>
      <x:c r="L240" s="25" t="str">
        <x:f>IFERROR(HYPERLINK("https://learn.microsoft.com/en-us/microsoft-365/copilot/release-notes#july-01-2026","Microsoft 365 Copilot release notes — July 01, 2026"),"Microsoft 365 Copilot release notes — July 01, 2026")</x:f>
        <x:v>Microsoft 365 Copilot release notes — July 01, 2026</x:v>
      </x:c>
      <x:c r="M240" s="25" t="str"/>
      <x:c r="N240" s="20" t="d">
        <x:v>2026-07-01T00:00:00.000Z</x:v>
      </x:c>
      <x:c r="O240" s="20" t="d">
        <x:v>2026-10-16T00:00:00.000Z</x:v>
      </x:c>
      <x:c r="P240" s="24" t="str">
        <x:v>COP-CE6EEFAC08</x:v>
      </x:c>
      <x:c r="Q240" s="19" t="str">
        <x:v>Documented GA rollout</x:v>
      </x:c>
      <x:c r="R240" s="19" t="str">
        <x:v>Source is the official GA/Current Channel release-note feed, checked 2026-10-16. Header date is documentation date; actual release is only bounded by the stated window.</x:v>
      </x:c>
      <x:c r="S240" s="19" t="str"/>
      <x:c r="T240" s="19"/>
      <x:c r="U240" s="20"/>
    </x:row>
    <x:row r="241" ht="85" customHeight="1">
      <x:c r="A241" s="21" t="d">
        <x:v>2026-07-01T00:00:00.000Z</x:v>
      </x:c>
      <x:c r="B241" s="19" t="str">
        <x:v>Release-note report date. Documented GA rollout. Availability precision: Release window; exact day unknown</x:v>
      </x:c>
      <x:c r="C241" s="19" t="str">
        <x:v>Microsoft 365 Copilot app</x:v>
      </x:c>
      <x:c r="D241" s="19" t="str">
        <x:v>AI-content watermark control</x:v>
      </x:c>
      <x:c r="E241" s="19" t="str">
        <x:v>Administrators can require watermarking on supported AI-generated outputs.</x:v>
      </x:c>
      <x:c r="F241" s="23" t="str">
        <x:v>Medium</x:v>
      </x:c>
      <x:c r="G241" s="19" t="str">
        <x:v>Make AI-created visual content identifiable under an internal disclosure policy.</x:v>
      </x:c>
      <x:c r="H241" s="19" t="str">
        <x:v>Adds administrative disclosure controls to AI-created content.</x:v>
      </x:c>
      <x:c r="I241" s="19" t="str">
        <x:v>GA feed; staged deployment</x:v>
      </x:c>
      <x:c r="J241" s="19" t="str">
        <x:v>Not specified in dated entry; verify tenant entitlement
Android, Windows, iOS, Mac, Web
Gradual tenant rollout; exact per-user availability is not established. Licensing is not specified in this entry.</x:v>
      </x:c>
      <x:c r="K241" s="19" t="str">
        <x:v>2026-06-16 to 2026-07-01</x:v>
      </x:c>
      <x:c r="L241" s="25" t="str">
        <x:f>IFERROR(HYPERLINK("https://learn.microsoft.com/en-us/microsoft-365/copilot/release-notes#july-01-2026","Microsoft 365 Copilot release notes — July 01, 2026"),"Microsoft 365 Copilot release notes — July 01, 2026")</x:f>
        <x:v>Microsoft 365 Copilot release notes — July 01, 2026</x:v>
      </x:c>
      <x:c r="M241" s="25" t="str"/>
      <x:c r="N241" s="20" t="d">
        <x:v>2026-07-01T00:00:00.000Z</x:v>
      </x:c>
      <x:c r="O241" s="20" t="d">
        <x:v>2026-10-16T00:00:00.000Z</x:v>
      </x:c>
      <x:c r="P241" s="24" t="str">
        <x:v>COP-45CDAAFD1B</x:v>
      </x:c>
      <x:c r="Q241" s="19" t="str">
        <x:v>Documented GA rollout</x:v>
      </x:c>
      <x:c r="R241" s="19" t="str">
        <x:v>Source is the official GA/Current Channel release-note feed, checked 2026-10-16. Header date is documentation date; actual release is only bounded by the stated window.</x:v>
      </x:c>
      <x:c r="S241" s="19" t="str"/>
      <x:c r="T241" s="19" t="str">
        <x:v>547831</x:v>
      </x:c>
      <x:c r="U241" s="20"/>
    </x:row>
    <x:row r="242" ht="85" customHeight="1">
      <x:c r="A242" s="21" t="d">
        <x:v>2026-07-01T00:00:00.000Z</x:v>
      </x:c>
      <x:c r="B242" s="19" t="str">
        <x:v>Release-note report date. Documented GA rollout. Availability precision: Release window; exact day unknown</x:v>
      </x:c>
      <x:c r="C242" s="19" t="str">
        <x:v>Microsoft 365 Copilot app</x:v>
      </x:c>
      <x:c r="D242" s="19" t="str">
        <x:v>Employee self-service landing-page customization</x:v>
      </x:c>
      <x:c r="E242" s="19" t="str">
        <x:v>Organizations tailor the employee self-service agent landing experience.</x:v>
      </x:c>
      <x:c r="F242" s="23" t="str">
        <x:v>Medium</x:v>
      </x:c>
      <x:c r="G242" s="19" t="str">
        <x:v>Surface relevant HR and IT starting points for employees.</x:v>
      </x:c>
      <x:c r="H242" s="19" t="str">
        <x:v>Makes self-service entry points fit an organization’s workforce.</x:v>
      </x:c>
      <x:c r="I242" s="19" t="str">
        <x:v>GA feed; staged deployment</x:v>
      </x:c>
      <x:c r="J242" s="19" t="str">
        <x:v>Not specified in dated entry; verify tenant entitlement
Web
Gradual tenant rollout; exact per-user availability is not established. Licensing is not specified in this entry.</x:v>
      </x:c>
      <x:c r="K242" s="19" t="str">
        <x:v>2026-06-16 to 2026-07-01</x:v>
      </x:c>
      <x:c r="L242" s="25" t="str">
        <x:f>IFERROR(HYPERLINK("https://learn.microsoft.com/en-us/microsoft-365/copilot/release-notes#july-01-2026","Microsoft 365 Copilot release notes — July 01, 2026"),"Microsoft 365 Copilot release notes — July 01, 2026")</x:f>
        <x:v>Microsoft 365 Copilot release notes — July 01, 2026</x:v>
      </x:c>
      <x:c r="M242" s="25" t="str">
        <x:f>IFERROR(HYPERLINK("https://learn.microsoft.com/en-us/microsoft-365/copilot/employee-self-service/customize","Additional Microsoft source"),"Additional Microsoft source")</x:f>
        <x:v>Additional Microsoft source</x:v>
      </x:c>
      <x:c r="N242" s="20" t="d">
        <x:v>2026-07-01T00:00:00.000Z</x:v>
      </x:c>
      <x:c r="O242" s="20" t="d">
        <x:v>2026-10-16T00:00:00.000Z</x:v>
      </x:c>
      <x:c r="P242" s="24" t="str">
        <x:v>COP-0DBE5EA9B2</x:v>
      </x:c>
      <x:c r="Q242" s="19" t="str">
        <x:v>Documented GA rollout</x:v>
      </x:c>
      <x:c r="R242" s="19" t="str">
        <x:v>Source is the official GA/Current Channel release-note feed, checked 2026-10-16. Header date is documentation date; actual release is only bounded by the stated window.</x:v>
      </x:c>
      <x:c r="S242" s="19" t="str"/>
      <x:c r="T242" s="19"/>
      <x:c r="U242" s="20"/>
    </x:row>
    <x:row r="243" ht="100" customHeight="1">
      <x:c r="A243" s="21" t="d">
        <x:v>2026-07-01T00:00:00.000Z</x:v>
      </x:c>
      <x:c r="B243" s="19" t="str">
        <x:v>Release-note report date. Documented GA rollout. Availability precision: Release window; exact day unknown</x:v>
      </x:c>
      <x:c r="C243" s="19" t="str">
        <x:v>Microsoft 365 Copilot app</x:v>
      </x:c>
      <x:c r="D243" s="19" t="str">
        <x:v>Excel creation from notebooks</x:v>
      </x:c>
      <x:c r="E243" s="19" t="str">
        <x:v>Create a spreadsheet grounded in the material gathered in a notebook.</x:v>
      </x:c>
      <x:c r="F243" s="23" t="str">
        <x:v>High</x:v>
      </x:c>
      <x:c r="G243" s="19" t="str">
        <x:v>Convert research findings into a structured comparison workbook.</x:v>
      </x:c>
      <x:c r="H243" s="19" t="str">
        <x:v>Structures notebook knowledge into a reusable spreadsheet deliverable.</x:v>
      </x:c>
      <x:c r="I243" s="19" t="str">
        <x:v>GA feed; staged deployment</x:v>
      </x:c>
      <x:c r="J243" s="19" t="str">
        <x:v>Not specified in dated entry; verify tenant entitlement
Windows, Web
Gradual tenant rollout; exact per-user availability is not established. Licensing is not specified in this entry.</x:v>
      </x:c>
      <x:c r="K243" s="19" t="str">
        <x:v>2026-06-16 to 2026-07-01</x:v>
      </x:c>
      <x:c r="L243" s="25" t="str">
        <x:f>IFERROR(HYPERLINK("https://learn.microsoft.com/en-us/microsoft-365/copilot/release-notes#july-01-2026","Microsoft 365 Copilot release notes — July 01, 2026"),"Microsoft 365 Copilot release notes — July 01, 2026")</x:f>
        <x:v>Microsoft 365 Copilot release notes — July 01, 2026</x:v>
      </x:c>
      <x:c r="M243" s="25" t="str"/>
      <x:c r="N243" s="20" t="d">
        <x:v>2026-07-01T00:00:00.000Z</x:v>
      </x:c>
      <x:c r="O243" s="20" t="d">
        <x:v>2026-10-16T00:00:00.000Z</x:v>
      </x:c>
      <x:c r="P243" s="24" t="str">
        <x:v>COP-6B05BCCD10</x:v>
      </x:c>
      <x:c r="Q243" s="19" t="str">
        <x:v>Documented GA rollout</x:v>
      </x:c>
      <x:c r="R243"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243" s="19" t="str"/>
      <x:c r="T243" s="19" t="str">
        <x:v>559480</x:v>
      </x:c>
      <x:c r="U243" s="20"/>
    </x:row>
    <x:row r="244" ht="85" customHeight="1">
      <x:c r="A244" s="21" t="d">
        <x:v>2026-07-01T00:00:00.000Z</x:v>
      </x:c>
      <x:c r="B244" s="19" t="str">
        <x:v>Release-note report date. Documented GA rollout. Availability precision: Release window; exact day unknown</x:v>
      </x:c>
      <x:c r="C244" s="19" t="str">
        <x:v>Microsoft 365 Copilot app</x:v>
      </x:c>
      <x:c r="D244" s="19" t="str">
        <x:v>Faster iOS Copilot launch</x:v>
      </x:c>
      <x:c r="E244" s="19" t="str">
        <x:v>Additional iOS entry points shorten access to the Copilot app.</x:v>
      </x:c>
      <x:c r="F244" s="23" t="str">
        <x:v>Low</x:v>
      </x:c>
      <x:c r="G244" s="19" t="str">
        <x:v>Start a quick work question from a phone shortcut.</x:v>
      </x:c>
      <x:c r="H244" s="19" t="str">
        <x:v>Saves launch steps on a mobile access surface.</x:v>
      </x:c>
      <x:c r="I244" s="19" t="str">
        <x:v>GA feed; staged deployment</x:v>
      </x:c>
      <x:c r="J244" s="19" t="str">
        <x:v>Not specified in dated entry; verify tenant entitlement
iOS
Gradual tenant rollout; exact per-user availability is not established. Licensing is not specified in this entry.</x:v>
      </x:c>
      <x:c r="K244" s="19" t="str">
        <x:v>2026-06-16 to 2026-07-01</x:v>
      </x:c>
      <x:c r="L244" s="25" t="str">
        <x:f>IFERROR(HYPERLINK("https://learn.microsoft.com/en-us/microsoft-365/copilot/release-notes#july-01-2026","Microsoft 365 Copilot release notes — July 01, 2026"),"Microsoft 365 Copilot release notes — July 01, 2026")</x:f>
        <x:v>Microsoft 365 Copilot release notes — July 01, 2026</x:v>
      </x:c>
      <x:c r="M244" s="25" t="str">
        <x:f>IFERROR(HYPERLINK("https://support.microsoft.com/Microsoft-365-Copilot/add-a-microsoft-365-copilot-widget-and-action-button-on-ios-devices","Additional Microsoft source"),"Additional Microsoft source")</x:f>
        <x:v>Additional Microsoft source</x:v>
      </x:c>
      <x:c r="N244" s="20" t="d">
        <x:v>2026-07-01T00:00:00.000Z</x:v>
      </x:c>
      <x:c r="O244" s="20" t="d">
        <x:v>2026-10-16T00:00:00.000Z</x:v>
      </x:c>
      <x:c r="P244" s="24" t="str">
        <x:v>COP-F716325270</x:v>
      </x:c>
      <x:c r="Q244" s="19" t="str">
        <x:v>Documented GA rollout</x:v>
      </x:c>
      <x:c r="R244" s="19" t="str">
        <x:v>Source is the official GA/Current Channel release-note feed, checked 2026-10-16. Header date is documentation date; actual release is only bounded by the stated window.</x:v>
      </x:c>
      <x:c r="S244" s="19" t="str"/>
      <x:c r="T244" s="19" t="str">
        <x:v>485724</x:v>
      </x:c>
      <x:c r="U244" s="20"/>
    </x:row>
    <x:row r="245" ht="100" customHeight="1">
      <x:c r="A245" s="21" t="d">
        <x:v>2026-07-01T00:00:00.000Z</x:v>
      </x:c>
      <x:c r="B245" s="19" t="str">
        <x:v>Release-note report date. Documented GA rollout. Availability precision: Release window; exact day unknown</x:v>
      </x:c>
      <x:c r="C245" s="19" t="str">
        <x:v>Microsoft 365 Copilot app</x:v>
      </x:c>
      <x:c r="D245" s="19" t="str">
        <x:v>Notebook mind maps</x:v>
      </x:c>
      <x:c r="E245" s="19" t="str">
        <x:v>Explore notebook topics and relationships through an interactive map.</x:v>
      </x:c>
      <x:c r="F245" s="23" t="str">
        <x:v>Medium</x:v>
      </x:c>
      <x:c r="G245" s="19" t="str">
        <x:v>Find connections across research notes before writing a recommendation.</x:v>
      </x:c>
      <x:c r="H245" s="19" t="str">
        <x:v>Makes complex notebook relationships easier to explore.</x:v>
      </x:c>
      <x:c r="I245" s="19" t="str">
        <x:v>GA feed; staged deployment</x:v>
      </x:c>
      <x:c r="J245" s="19" t="str">
        <x:v>Not specified in dated entry; verify tenant entitlement
Windows, Web
Gradual tenant rollout; exact per-user availability is not established. Licensing is not specified in this entry.</x:v>
      </x:c>
      <x:c r="K245" s="19" t="str">
        <x:v>2026-06-16 to 2026-07-01</x:v>
      </x:c>
      <x:c r="L245" s="25" t="str">
        <x:f>IFERROR(HYPERLINK("https://learn.microsoft.com/en-us/microsoft-365/copilot/release-notes#july-01-2026","Microsoft 365 Copilot release notes — July 01, 2026"),"Microsoft 365 Copilot release notes — July 01, 2026")</x:f>
        <x:v>Microsoft 365 Copilot release notes — July 01, 2026</x:v>
      </x:c>
      <x:c r="M245" s="25"/>
      <x:c r="N245" s="20" t="d">
        <x:v>2026-07-01T00:00:00.000Z</x:v>
      </x:c>
      <x:c r="O245" s="20" t="d">
        <x:v>2026-10-16T00:00:00.000Z</x:v>
      </x:c>
      <x:c r="P245" s="24" t="str">
        <x:v>COP-38A12D7414</x:v>
      </x:c>
      <x:c r="Q245" s="19" t="str">
        <x:v>Documented GA rollout</x:v>
      </x:c>
      <x:c r="R245"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245" s="19" t="str"/>
      <x:c r="T245" s="19" t="str">
        <x:v>559029</x:v>
      </x:c>
      <x:c r="U245" s="20"/>
    </x:row>
    <x:row r="246" ht="85" customHeight="1">
      <x:c r="A246" s="21" t="d">
        <x:v>2026-07-01T00:00:00.000Z</x:v>
      </x:c>
      <x:c r="B246" s="19" t="str">
        <x:v>Release-note report date. Documented GA rollout. Availability precision: Release window; exact day unknown</x:v>
      </x:c>
      <x:c r="C246" s="19" t="str">
        <x:v>Microsoft 365 Copilot app</x:v>
      </x:c>
      <x:c r="D246" s="19" t="str">
        <x:v>People search by department</x:v>
      </x:c>
      <x:c r="E246" s="19" t="str">
        <x:v>Copilot Search can use department information when finding people.</x:v>
      </x:c>
      <x:c r="F246" s="23" t="str">
        <x:v>Low</x:v>
      </x:c>
      <x:c r="G246" s="19" t="str">
        <x:v>Find a colleague in procurement without knowing their name.</x:v>
      </x:c>
      <x:c r="H246" s="19" t="str">
        <x:v>Improves colleague discovery when only the function is known.</x:v>
      </x:c>
      <x:c r="I246" s="19" t="str">
        <x:v>GA feed; staged deployment</x:v>
      </x:c>
      <x:c r="J246" s="19" t="str">
        <x:v>Not specified in dated entry; verify tenant entitlement
Web
Gradual tenant rollout; exact per-user availability is not established. Licensing is not specified in this entry.</x:v>
      </x:c>
      <x:c r="K246" s="19" t="str">
        <x:v>2026-06-16 to 2026-07-01</x:v>
      </x:c>
      <x:c r="L246" s="25" t="str">
        <x:f>IFERROR(HYPERLINK("https://learn.microsoft.com/en-us/microsoft-365/copilot/release-notes#july-01-2026","Microsoft 365 Copilot release notes — July 01, 2026"),"Microsoft 365 Copilot release notes — July 01, 2026")</x:f>
        <x:v>Microsoft 365 Copilot release notes — July 01, 2026</x:v>
      </x:c>
      <x:c r="M246" s="25" t="str"/>
      <x:c r="N246" s="20" t="d">
        <x:v>2026-07-01T00:00:00.000Z</x:v>
      </x:c>
      <x:c r="O246" s="20" t="d">
        <x:v>2026-10-16T00:00:00.000Z</x:v>
      </x:c>
      <x:c r="P246" s="24" t="str">
        <x:v>COP-1526FB4055</x:v>
      </x:c>
      <x:c r="Q246" s="19" t="str">
        <x:v>Documented GA rollout</x:v>
      </x:c>
      <x:c r="R246" s="19" t="str">
        <x:v>Source is the official GA/Current Channel release-note feed, checked 2026-10-16. Header date is documentation date; actual release is only bounded by the stated window.</x:v>
      </x:c>
      <x:c r="S246" s="19" t="str"/>
      <x:c r="T246" s="19" t="str">
        <x:v>508527</x:v>
      </x:c>
      <x:c r="U246" s="20"/>
    </x:row>
    <x:row r="247" ht="100" customHeight="1">
      <x:c r="A247" s="21" t="d">
        <x:v>2026-07-01T00:00:00.000Z</x:v>
      </x:c>
      <x:c r="B247" s="19" t="str">
        <x:v>Release-note report date. Documented GA rollout. Availability precision: Release window; exact day unknown</x:v>
      </x:c>
      <x:c r="C247" s="19" t="str">
        <x:v>Microsoft 365 Copilot app</x:v>
      </x:c>
      <x:c r="D247" s="19" t="str">
        <x:v>PowerPoint creation from notebooks</x:v>
      </x:c>
      <x:c r="E247" s="19" t="str">
        <x:v>Generate an editable presentation using a Copilot Notebook as context.</x:v>
      </x:c>
      <x:c r="F247" s="23" t="str">
        <x:v>High</x:v>
      </x:c>
      <x:c r="G247" s="19" t="str">
        <x:v>Turn a project research notebook into a stakeholder briefing.</x:v>
      </x:c>
      <x:c r="H247" s="19" t="str">
        <x:v>Converts collected project context into a first-draft presentation.</x:v>
      </x:c>
      <x:c r="I247" s="19" t="str">
        <x:v>GA feed; staged deployment</x:v>
      </x:c>
      <x:c r="J247" s="19" t="str">
        <x:v>Not specified in dated entry; verify tenant entitlement
Windows, Web
Gradual tenant rollout; exact per-user availability is not established. Licensing is not specified in this entry.</x:v>
      </x:c>
      <x:c r="K247" s="19" t="str">
        <x:v>2026-06-16 to 2026-07-01</x:v>
      </x:c>
      <x:c r="L247" s="25" t="str">
        <x:f>IFERROR(HYPERLINK("https://learn.microsoft.com/en-us/microsoft-365/copilot/release-notes#july-01-2026","Microsoft 365 Copilot release notes — July 01, 2026"),"Microsoft 365 Copilot release notes — July 01, 2026")</x:f>
        <x:v>Microsoft 365 Copilot release notes — July 01, 2026</x:v>
      </x:c>
      <x:c r="M247" s="25" t="str"/>
      <x:c r="N247" s="20" t="d">
        <x:v>2026-07-01T00:00:00.000Z</x:v>
      </x:c>
      <x:c r="O247" s="20" t="d">
        <x:v>2026-10-16T00:00:00.000Z</x:v>
      </x:c>
      <x:c r="P247" s="24" t="str">
        <x:v>COP-985C4FBBAD</x:v>
      </x:c>
      <x:c r="Q247" s="19" t="str">
        <x:v>Documented GA rollout</x:v>
      </x:c>
      <x:c r="R247"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247" s="19" t="str"/>
      <x:c r="T247" s="19" t="str">
        <x:v>558938</x:v>
      </x:c>
      <x:c r="U247" s="20"/>
    </x:row>
    <x:row r="248" ht="85" customHeight="1">
      <x:c r="A248" s="21" t="d">
        <x:v>2026-07-01T00:00:00.000Z</x:v>
      </x:c>
      <x:c r="B248" s="19" t="str">
        <x:v>Release-note report date. Documented GA rollout. Availability precision: Release window; exact day unknown</x:v>
      </x:c>
      <x:c r="C248" s="19" t="str">
        <x:v>Microsoft 365 Copilot app</x:v>
      </x:c>
      <x:c r="D248" s="19" t="str">
        <x:v>Scheduled agent prompts</x:v>
      </x:c>
      <x:c r="E248" s="19" t="str">
        <x:v>Schedule supported agents to execute prompts on a recurring basis.</x:v>
      </x:c>
      <x:c r="F248" s="23" t="str">
        <x:v>High</x:v>
      </x:c>
      <x:c r="G248" s="19" t="str">
        <x:v>Prepare a recurring project briefing without manually restarting the prompt.</x:v>
      </x:c>
      <x:c r="H248" s="19" t="str">
        <x:v>Removes repeated manual prompting for recurring agent work.</x:v>
      </x:c>
      <x:c r="I248" s="19" t="str">
        <x:v>GA feed; staged deployment</x:v>
      </x:c>
      <x:c r="J248" s="19" t="str">
        <x:v>Not specified in dated entry; verify tenant entitlement
Windows, Mac, Web
Gradual tenant rollout; exact per-user availability is not established. Licensing is not specified in this entry.</x:v>
      </x:c>
      <x:c r="K248" s="19" t="str">
        <x:v>2026-06-16 to 2026-07-01</x:v>
      </x:c>
      <x:c r="L248" s="25" t="str">
        <x:f>IFERROR(HYPERLINK("https://learn.microsoft.com/en-us/microsoft-365/copilot/release-notes#july-01-2026","Microsoft 365 Copilot release notes — July 01, 2026"),"Microsoft 365 Copilot release notes — July 01, 2026")</x:f>
        <x:v>Microsoft 365 Copilot release notes — July 01, 2026</x:v>
      </x:c>
      <x:c r="M248" s="25" t="str"/>
      <x:c r="N248" s="20" t="d">
        <x:v>2026-07-01T00:00:00.000Z</x:v>
      </x:c>
      <x:c r="O248" s="20" t="d">
        <x:v>2026-10-16T00:00:00.000Z</x:v>
      </x:c>
      <x:c r="P248" s="24" t="str">
        <x:v>COP-DB3C1AFD94</x:v>
      </x:c>
      <x:c r="Q248" s="19" t="str">
        <x:v>Documented GA rollout</x:v>
      </x:c>
      <x:c r="R248" s="19" t="str">
        <x:v>Source is the official GA/Current Channel release-note feed, checked 2026-10-16. Header date is documentation date; actual release is only bounded by the stated window.</x:v>
      </x:c>
      <x:c r="S248" s="19" t="str"/>
      <x:c r="T248" s="19" t="str">
        <x:v>531759</x:v>
      </x:c>
      <x:c r="U248" s="20"/>
    </x:row>
    <x:row r="249" ht="85" customHeight="1">
      <x:c r="A249" s="21" t="d">
        <x:v>2026-07-01T00:00:00.000Z</x:v>
      </x:c>
      <x:c r="B249" s="19" t="str">
        <x:v>Release-note report date. Documented GA rollout. Availability precision: Release window; exact day unknown</x:v>
      </x:c>
      <x:c r="C249" s="19" t="str">
        <x:v>Microsoft 365 Copilot app</x:v>
      </x:c>
      <x:c r="D249" s="19" t="str">
        <x:v>Sensitivity inheritance for generated files</x:v>
      </x:c>
      <x:c r="E249" s="19" t="str">
        <x:v>Generated files inherit relevant source sensitivity labels.</x:v>
      </x:c>
      <x:c r="F249" s="23" t="str">
        <x:v>High</x:v>
      </x:c>
      <x:c r="G249" s="19" t="str">
        <x:v>Retain classification when turning confidential references into a new document.</x:v>
      </x:c>
      <x:c r="H249" s="19" t="str">
        <x:v>Helps keep generated derivatives aligned with source classification.</x:v>
      </x:c>
      <x:c r="I249" s="19" t="str">
        <x:v>GA feed; staged deployment</x:v>
      </x:c>
      <x:c r="J249" s="19" t="str">
        <x:v>Not specified in dated entry; verify tenant entitlement
Android, Windows, iOS, Mac, Web
Gradual tenant rollout; exact per-user availability is not established. Licensing is not specified in this entry.</x:v>
      </x:c>
      <x:c r="K249" s="19" t="str">
        <x:v>2026-06-16 to 2026-07-01</x:v>
      </x:c>
      <x:c r="L249" s="25" t="str">
        <x:f>IFERROR(HYPERLINK("https://learn.microsoft.com/en-us/microsoft-365/copilot/release-notes#july-01-2026","Microsoft 365 Copilot release notes — July 01, 2026"),"Microsoft 365 Copilot release notes — July 01, 2026")</x:f>
        <x:v>Microsoft 365 Copilot release notes — July 01, 2026</x:v>
      </x:c>
      <x:c r="M249" s="25" t="str"/>
      <x:c r="N249" s="20" t="d">
        <x:v>2026-07-01T00:00:00.000Z</x:v>
      </x:c>
      <x:c r="O249" s="20" t="d">
        <x:v>2026-10-16T00:00:00.000Z</x:v>
      </x:c>
      <x:c r="P249" s="24" t="str">
        <x:v>COP-B50375935F</x:v>
      </x:c>
      <x:c r="Q249" s="19" t="str">
        <x:v>Documented GA rollout</x:v>
      </x:c>
      <x:c r="R249" s="19" t="str">
        <x:v>Source is the official GA/Current Channel release-note feed, checked 2026-10-16. Header date is documentation date; actual release is only bounded by the stated window.</x:v>
      </x:c>
      <x:c r="S249" s="19" t="str"/>
      <x:c r="T249" s="19"/>
      <x:c r="U249" s="20"/>
    </x:row>
    <x:row r="250" ht="115" customHeight="1">
      <x:c r="A250" s="21" t="d">
        <x:v>2026-07-01T00:00:00.000Z</x:v>
      </x:c>
      <x:c r="B250" s="19" t="str">
        <x:v>Release-note report date. Documented GA rollout. Availability precision: Release window; exact day unknown</x:v>
      </x:c>
      <x:c r="C250" s="19" t="str">
        <x:v>Microsoft 365 Copilot app</x:v>
      </x:c>
      <x:c r="D250" s="19" t="str">
        <x:v>Word creation from notebooks</x:v>
      </x:c>
      <x:c r="E250" s="19" t="str">
        <x:v>Produce editable Word drafts from notebook references and discussion.</x:v>
      </x:c>
      <x:c r="F250" s="23" t="str">
        <x:v>High</x:v>
      </x:c>
      <x:c r="G250" s="19" t="str">
        <x:v>Convert accumulated workshop notes into a client-ready report draft.</x:v>
      </x:c>
      <x:c r="H250" s="19" t="str">
        <x:v>Turns accumulated references into an editable long-form draft.</x:v>
      </x:c>
      <x:c r="I250" s="19" t="str">
        <x:v>GA feed; staged deployment</x:v>
      </x:c>
      <x:c r="J250" s="19" t="str">
        <x:v>Not specified in dated entry; verify tenant entitlement
Windows, Web
Gradual tenant rollout; exact per-user availability is not established. Licensing is not specified in this entry.</x:v>
      </x:c>
      <x:c r="K250" s="19" t="str">
        <x:v>2026-06-16 to 2026-07-01</x:v>
      </x:c>
      <x:c r="L250" s="25" t="str">
        <x:f>IFERROR(HYPERLINK("https://learn.microsoft.com/en-us/microsoft-365/copilot/release-notes#july-01-2026","Microsoft 365 Copilot release notes — July 01, 2026"),"Microsoft 365 Copilot release notes — July 01, 2026")</x:f>
        <x:v>Microsoft 365 Copilot release notes — July 01, 2026</x:v>
      </x:c>
      <x:c r="M250" s="25" t="str"/>
      <x:c r="N250" s="20" t="d">
        <x:v>2026-07-01T00:00:00.000Z</x:v>
      </x:c>
      <x:c r="O250" s="20" t="d">
        <x:v>2026-10-16T00:00:00.000Z</x:v>
      </x:c>
      <x:c r="P250" s="24" t="str">
        <x:v>COP-D5B7806185</x:v>
      </x:c>
      <x:c r="Q250" s="19" t="str">
        <x:v>Documented GA rollout</x:v>
      </x:c>
      <x:c r="R250"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 April recap separately forecast May; no distinct preview row was added.</x:v>
      </x:c>
      <x:c r="S250" s="19" t="str"/>
      <x:c r="T250" s="19" t="str">
        <x:v>558934</x:v>
      </x:c>
      <x:c r="U250" s="20"/>
    </x:row>
    <x:row r="251" ht="85" customHeight="1">
      <x:c r="A251" s="21" t="d">
        <x:v>2026-07-01T00:00:00.000Z</x:v>
      </x:c>
      <x:c r="B251" s="19" t="str">
        <x:v>Release-note report date. Documented GA rollout. Availability precision: Release window; exact day unknown</x:v>
      </x:c>
      <x:c r="C251" s="19" t="str">
        <x:v>Microsoft 365 Copilot Chat</x:v>
      </x:c>
      <x:c r="D251" s="19" t="str">
        <x:v>Brand kits for chat-generated visuals</x:v>
      </x:c>
      <x:c r="E251" s="19" t="str">
        <x:v>Apply chosen brand guidance and styles to visuals made in chat.</x:v>
      </x:c>
      <x:c r="F251" s="23" t="str">
        <x:v>Medium</x:v>
      </x:c>
      <x:c r="G251" s="19" t="str">
        <x:v>Keep internally generated marketing assets visually consistent.</x:v>
      </x:c>
      <x:c r="H251" s="19" t="str">
        <x:v>Reduces off-brand output in routine visual creation.</x:v>
      </x:c>
      <x:c r="I251" s="19" t="str">
        <x:v>GA feed; staged deployment</x:v>
      </x:c>
      <x:c r="J251" s="19" t="str">
        <x:v>Not specified in dated entry; verify tenant entitlement
Windows, Mac, Web
Gradual tenant rollout; exact per-user availability is not established. Licensing is not specified in this entry.</x:v>
      </x:c>
      <x:c r="K251" s="19" t="str">
        <x:v>2026-06-16 to 2026-07-01</x:v>
      </x:c>
      <x:c r="L251" s="25" t="str">
        <x:f>IFERROR(HYPERLINK("https://learn.microsoft.com/en-us/microsoft-365/copilot/release-notes#july-01-2026","Microsoft 365 Copilot release notes — July 01, 2026"),"Microsoft 365 Copilot release notes — July 01, 2026")</x:f>
        <x:v>Microsoft 365 Copilot release notes — July 01, 2026</x:v>
      </x:c>
      <x:c r="M251" s="25" t="str"/>
      <x:c r="N251" s="20" t="d">
        <x:v>2026-07-01T00:00:00.000Z</x:v>
      </x:c>
      <x:c r="O251" s="20" t="d">
        <x:v>2026-10-16T00:00:00.000Z</x:v>
      </x:c>
      <x:c r="P251" s="24" t="str">
        <x:v>COP-CD04589C2B</x:v>
      </x:c>
      <x:c r="Q251" s="19" t="str">
        <x:v>Documented GA rollout</x:v>
      </x:c>
      <x:c r="R251" s="19" t="str">
        <x:v>Source is the official GA/Current Channel release-note feed, checked 2026-10-16. Header date is documentation date; actual release is only bounded by the stated window.</x:v>
      </x:c>
      <x:c r="S251" s="19" t="str"/>
      <x:c r="T251" s="19"/>
      <x:c r="U251" s="20"/>
    </x:row>
    <x:row r="252" ht="100" customHeight="1">
      <x:c r="A252" s="21" t="d">
        <x:v>2026-07-01T00:00:00.000Z</x:v>
      </x:c>
      <x:c r="B252" s="19" t="str">
        <x:v>Release-note report date. Documented GA rollout. Availability precision: Release window; exact day unknown</x:v>
      </x:c>
      <x:c r="C252" s="19" t="str">
        <x:v>Microsoft 365 Copilot Chat</x:v>
      </x:c>
      <x:c r="D252" s="19" t="str">
        <x:v>MAI-Image-2-Efficient in PowerPoint</x:v>
      </x:c>
      <x:c r="E252" s="19" t="str">
        <x:v>Add Microsoft’s efficient image model to presentation visual creation.</x:v>
      </x:c>
      <x:c r="F252" s="23" t="str">
        <x:v>Medium</x:v>
      </x:c>
      <x:c r="G252" s="19" t="str">
        <x:v>Create or revise supporting visuals while preparing slides.</x:v>
      </x:c>
      <x:c r="H252" s="19" t="str">
        <x:v>Adds another visual-generation option inside slide authoring.</x:v>
      </x:c>
      <x:c r="I252" s="19" t="str">
        <x:v>GA feed; staged deployment</x:v>
      </x:c>
      <x:c r="J252" s="19" t="str">
        <x:v>Not specified in dated entry; verify tenant entitlement
Windows, Mac, Web
Gradual tenant rollout; exact per-user availability is not established. Licensing is not specified in this entry.</x:v>
      </x:c>
      <x:c r="K252" s="19" t="str">
        <x:v>2026-06-16 to 2026-07-01</x:v>
      </x:c>
      <x:c r="L252" s="25" t="str">
        <x:f>IFERROR(HYPERLINK("https://learn.microsoft.com/en-us/microsoft-365/copilot/release-notes#july-01-2026","Microsoft 365 Copilot release notes — July 01, 2026"),"Microsoft 365 Copilot release notes — July 01, 2026")</x:f>
        <x:v>Microsoft 365 Copilot release notes — July 01, 2026</x:v>
      </x:c>
      <x:c r="M252" s="25" t="str"/>
      <x:c r="N252" s="20" t="d">
        <x:v>2026-07-01T00:00:00.000Z</x:v>
      </x:c>
      <x:c r="O252" s="20" t="d">
        <x:v>2026-10-16T00:00:00.000Z</x:v>
      </x:c>
      <x:c r="P252" s="24" t="str">
        <x:v>COP-7E01C85F60</x:v>
      </x:c>
      <x:c r="Q252" s="19" t="str">
        <x:v>Documented GA rollout</x:v>
      </x:c>
      <x:c r="R252"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252" s="19" t="str"/>
      <x:c r="T252" s="19" t="str"/>
      <x:c r="U252" s="20"/>
    </x:row>
    <x:row r="253" ht="85" customHeight="1">
      <x:c r="A253" s="21" t="d">
        <x:v>2026-07-01T00:00:00.000Z</x:v>
      </x:c>
      <x:c r="B253" s="19" t="str">
        <x:v>Release-note report date. Documented GA rollout. Availability precision: Release window; exact day unknown</x:v>
      </x:c>
      <x:c r="C253" s="19" t="str">
        <x:v>Microsoft 365 Copilot Chat</x:v>
      </x:c>
      <x:c r="D253" s="19" t="str">
        <x:v>Office file viewing within Copilot Chat</x:v>
      </x:c>
      <x:c r="E253" s="19" t="str">
        <x:v>Open Word, Excel and PowerPoint files inside the chat experience alongside PDFs.</x:v>
      </x:c>
      <x:c r="F253" s="23" t="str">
        <x:v>Medium</x:v>
      </x:c>
      <x:c r="G253" s="19" t="str">
        <x:v>Review source material without repeatedly switching windows.</x:v>
      </x:c>
      <x:c r="H253" s="19" t="str">
        <x:v>Keeps source review close to the questions being asked.</x:v>
      </x:c>
      <x:c r="I253" s="19" t="str">
        <x:v>GA feed; staged deployment</x:v>
      </x:c>
      <x:c r="J253" s="19" t="str">
        <x:v>Not specified in dated entry; verify tenant entitlement
Windows, Mac, Web
Gradual tenant rollout; exact per-user availability is not established. Licensing is not specified in this entry.</x:v>
      </x:c>
      <x:c r="K253" s="19" t="str">
        <x:v>2026-06-16 to 2026-07-01</x:v>
      </x:c>
      <x:c r="L253" s="25" t="str">
        <x:f>IFERROR(HYPERLINK("https://learn.microsoft.com/en-us/microsoft-365/copilot/release-notes#july-01-2026","Microsoft 365 Copilot release notes — July 01, 2026"),"Microsoft 365 Copilot release notes — July 01, 2026")</x:f>
        <x:v>Microsoft 365 Copilot release notes — July 01, 2026</x:v>
      </x:c>
      <x:c r="M253" s="25"/>
      <x:c r="N253" s="20" t="d">
        <x:v>2026-07-01T00:00:00.000Z</x:v>
      </x:c>
      <x:c r="O253" s="20" t="d">
        <x:v>2026-10-16T00:00:00.000Z</x:v>
      </x:c>
      <x:c r="P253" s="24" t="str">
        <x:v>COP-9961D23B87</x:v>
      </x:c>
      <x:c r="Q253" s="19" t="str">
        <x:v>Documented GA rollout</x:v>
      </x:c>
      <x:c r="R253" s="19" t="str">
        <x:v>Source is the official GA/Current Channel release-note feed, checked 2026-10-16. Header date is documentation date; actual release is only bounded by the stated window.</x:v>
      </x:c>
      <x:c r="S253" s="19" t="str"/>
      <x:c r="T253" s="19" t="str">
        <x:v>548641</x:v>
      </x:c>
      <x:c r="U253" s="20"/>
    </x:row>
    <x:row r="254" ht="85" customHeight="1">
      <x:c r="A254" s="21" t="d">
        <x:v>2026-07-01T00:00:00.000Z</x:v>
      </x:c>
      <x:c r="B254" s="19" t="str">
        <x:v>Release-note report date. Documented GA rollout. Availability precision: Release window; exact day unknown</x:v>
      </x:c>
      <x:c r="C254" s="19" t="str">
        <x:v>Microsoft 365 Copilot extensibility</x:v>
      </x:c>
      <x:c r="D254" s="19" t="str">
        <x:v>Change ServiceNow permission-reading settings</x:v>
      </x:c>
      <x:c r="E254" s="19" t="str">
        <x:v>Edit the permission-reading method on existing Knowledge and Catalog connections.</x:v>
      </x:c>
      <x:c r="F254" s="23" t="str">
        <x:v>Medium</x:v>
      </x:c>
      <x:c r="G254" s="19" t="str">
        <x:v>Adjust connector access handling after an internal permissions redesign.</x:v>
      </x:c>
      <x:c r="H254" s="19" t="str">
        <x:v>Avoids recreating a connection when permission-reading needs change.</x:v>
      </x:c>
      <x:c r="I254" s="19" t="str">
        <x:v>GA feed; staged deployment</x:v>
      </x:c>
      <x:c r="J254" s="19" t="str">
        <x:v>Not specified in dated entry; verify tenant entitlement
Web
Gradual tenant rollout; exact per-user availability is not established. Licensing is not specified in this entry.</x:v>
      </x:c>
      <x:c r="K254" s="19" t="str">
        <x:v>2026-06-16 to 2026-07-01</x:v>
      </x:c>
      <x:c r="L254" s="25" t="str">
        <x:f>IFERROR(HYPERLINK("https://learn.microsoft.com/en-us/microsoft-365/copilot/release-notes#july-01-2026","Microsoft 365 Copilot release notes — July 01, 2026"),"Microsoft 365 Copilot release notes — July 01, 2026")</x:f>
        <x:v>Microsoft 365 Copilot release notes — July 01, 2026</x:v>
      </x:c>
      <x:c r="M254" s="25" t="str"/>
      <x:c r="N254" s="20" t="d">
        <x:v>2026-07-01T00:00:00.000Z</x:v>
      </x:c>
      <x:c r="O254" s="20" t="d">
        <x:v>2026-10-16T00:00:00.000Z</x:v>
      </x:c>
      <x:c r="P254" s="24" t="str">
        <x:v>COP-6FA09B22DB</x:v>
      </x:c>
      <x:c r="Q254" s="19" t="str">
        <x:v>Documented GA rollout</x:v>
      </x:c>
      <x:c r="R254" s="19" t="str">
        <x:v>Source is the official GA/Current Channel release-note feed, checked 2026-10-16. Header date is documentation date; actual release is only bounded by the stated window.</x:v>
      </x:c>
      <x:c r="S254" s="19" t="str"/>
      <x:c r="T254" s="19" t="str">
        <x:v>505438</x:v>
      </x:c>
      <x:c r="U254" s="20"/>
    </x:row>
    <x:row r="255" ht="85" customHeight="1">
      <x:c r="A255" s="21" t="d">
        <x:v>2026-07-01T00:00:00.000Z</x:v>
      </x:c>
      <x:c r="B255" s="19" t="str">
        <x:v>Release-note report date. Documented GA rollout. Availability precision: Release window; exact day unknown</x:v>
      </x:c>
      <x:c r="C255" s="19" t="str">
        <x:v>Microsoft 365 SharePoint</x:v>
      </x:c>
      <x:c r="D255" s="19" t="str">
        <x:v>SharePoint metadata grounding</x:v>
      </x:c>
      <x:c r="E255" s="19" t="str">
        <x:v>Library- and folder-scoped questions can incorporate SharePoint column metadata.</x:v>
      </x:c>
      <x:c r="F255" s="23" t="str">
        <x:v>High</x:v>
      </x:c>
      <x:c r="G255" s="19" t="str">
        <x:v>Find current approved policies using status and department columns.</x:v>
      </x:c>
      <x:c r="H255" s="19" t="str">
        <x:v>Uses existing business metadata to improve document-selection relevance.</x:v>
      </x:c>
      <x:c r="I255" s="19" t="str">
        <x:v>GA feed; staged deployment</x:v>
      </x:c>
      <x:c r="J255" s="19" t="str">
        <x:v>Not specified in dated entry; verify tenant entitlement
Web
Gradual tenant rollout; exact per-user availability is not established. Licensing is not specified in this entry.</x:v>
      </x:c>
      <x:c r="K255" s="19" t="str">
        <x:v>2026-06-16 to 2026-07-01</x:v>
      </x:c>
      <x:c r="L255" s="25" t="str">
        <x:f>IFERROR(HYPERLINK("https://learn.microsoft.com/en-us/microsoft-365/copilot/release-notes#july-01-2026","Microsoft 365 Copilot release notes — July 01, 2026"),"Microsoft 365 Copilot release notes — July 01, 2026")</x:f>
        <x:v>Microsoft 365 Copilot release notes — July 01, 2026</x:v>
      </x:c>
      <x:c r="M255" s="25" t="str"/>
      <x:c r="N255" s="20" t="d">
        <x:v>2026-07-01T00:00:00.000Z</x:v>
      </x:c>
      <x:c r="O255" s="20" t="d">
        <x:v>2026-10-16T00:00:00.000Z</x:v>
      </x:c>
      <x:c r="P255" s="24" t="str">
        <x:v>COP-E7A10B6CC6</x:v>
      </x:c>
      <x:c r="Q255" s="19" t="str">
        <x:v>Documented GA rollout</x:v>
      </x:c>
      <x:c r="R255" s="19" t="str">
        <x:v>Source is the official GA/Current Channel release-note feed, checked 2026-10-16. Header date is documentation date; actual release is only bounded by the stated window.</x:v>
      </x:c>
      <x:c r="S255" s="19" t="str"/>
      <x:c r="T255" s="19" t="str">
        <x:v>516044</x:v>
      </x:c>
      <x:c r="U255" s="20"/>
    </x:row>
    <x:row r="256" ht="85" customHeight="1">
      <x:c r="A256" s="21" t="d">
        <x:v>2026-07-01T00:00:00.000Z</x:v>
      </x:c>
      <x:c r="B256" s="19" t="str">
        <x:v>Release-note report date. Documented GA rollout. Availability precision: Release window; exact day unknown</x:v>
      </x:c>
      <x:c r="C256" s="19" t="str">
        <x:v>OneNote</x:v>
      </x:c>
      <x:c r="D256" s="19" t="str">
        <x:v>Copilot Notebooks in OneNote iOS</x:v>
      </x:c>
      <x:c r="E256" s="19" t="str">
        <x:v>Access notebook AI workflows in OneNote on iPhone and iPad.</x:v>
      </x:c>
      <x:c r="F256" s="23" t="str">
        <x:v>Medium</x:v>
      </x:c>
      <x:c r="G256" s="19" t="str">
        <x:v>Review project context and ask follow-up questions while away from a desk.</x:v>
      </x:c>
      <x:c r="H256" s="19" t="str">
        <x:v>Extends notebook workflows to mobile devices.</x:v>
      </x:c>
      <x:c r="I256" s="19" t="str">
        <x:v>GA feed; staged deployment</x:v>
      </x:c>
      <x:c r="J256" s="19" t="str">
        <x:v>Not specified in dated entry; verify tenant entitlement
iOS
Gradual tenant rollout; exact per-user availability is not established. Licensing is not specified in this entry.</x:v>
      </x:c>
      <x:c r="K256" s="19" t="str">
        <x:v>2026-06-16 to 2026-07-01</x:v>
      </x:c>
      <x:c r="L256" s="25" t="str">
        <x:f>IFERROR(HYPERLINK("https://learn.microsoft.com/en-us/microsoft-365/copilot/release-notes#july-01-2026","Microsoft 365 Copilot release notes — July 01, 2026"),"Microsoft 365 Copilot release notes — July 01, 2026")</x:f>
        <x:v>Microsoft 365 Copilot release notes — July 01, 2026</x:v>
      </x:c>
      <x:c r="M256" s="25" t="str"/>
      <x:c r="N256" s="20" t="d">
        <x:v>2026-07-01T00:00:00.000Z</x:v>
      </x:c>
      <x:c r="O256" s="20" t="d">
        <x:v>2026-10-16T00:00:00.000Z</x:v>
      </x:c>
      <x:c r="P256" s="24" t="str">
        <x:v>COP-6DA78B8B48</x:v>
      </x:c>
      <x:c r="Q256" s="19" t="str">
        <x:v>Documented GA rollout</x:v>
      </x:c>
      <x:c r="R256" s="19" t="str">
        <x:v>Source is the official GA/Current Channel release-note feed, checked 2026-10-16. Header date is documentation date; actual release is only bounded by the stated window.</x:v>
      </x:c>
      <x:c r="S256" s="19" t="str"/>
      <x:c r="T256" s="19" t="str">
        <x:v>511794</x:v>
      </x:c>
      <x:c r="U256" s="20"/>
    </x:row>
    <x:row r="257" ht="85" customHeight="1">
      <x:c r="A257" s="21" t="d">
        <x:v>2026-07-01T00:00:00.000Z</x:v>
      </x:c>
      <x:c r="B257" s="19" t="str">
        <x:v>Release-note report date. Documented GA rollout. Availability precision: Release window; exact day unknown</x:v>
      </x:c>
      <x:c r="C257" s="19" t="str">
        <x:v>OneNote</x:v>
      </x:c>
      <x:c r="D257" s="19" t="str">
        <x:v>Copilot Notebooks in OneNote web</x:v>
      </x:c>
      <x:c r="E257" s="19" t="str">
        <x:v>Access Copilot Notebooks from browser-based OneNote.</x:v>
      </x:c>
      <x:c r="F257" s="23" t="str">
        <x:v>Medium</x:v>
      </x:c>
      <x:c r="G257" s="19" t="str">
        <x:v>Continue notebook-based work on a device without the desktop app.</x:v>
      </x:c>
      <x:c r="H257" s="19" t="str">
        <x:v>Makes notebook workflows usable from a browser-only environment.</x:v>
      </x:c>
      <x:c r="I257" s="19" t="str">
        <x:v>GA feed; staged deployment</x:v>
      </x:c>
      <x:c r="J257" s="19" t="str">
        <x:v>Not specified in dated entry; verify tenant entitlement
Web
Gradual tenant rollout; exact per-user availability is not established. Licensing is not specified in this entry.</x:v>
      </x:c>
      <x:c r="K257" s="19" t="str">
        <x:v>2026-06-16 to 2026-07-01</x:v>
      </x:c>
      <x:c r="L257" s="25" t="str">
        <x:f>IFERROR(HYPERLINK("https://learn.microsoft.com/en-us/microsoft-365/copilot/release-notes#july-01-2026","Microsoft 365 Copilot release notes — July 01, 2026"),"Microsoft 365 Copilot release notes — July 01, 2026")</x:f>
        <x:v>Microsoft 365 Copilot release notes — July 01, 2026</x:v>
      </x:c>
      <x:c r="M257" s="25" t="str"/>
      <x:c r="N257" s="20" t="d">
        <x:v>2026-07-01T00:00:00.000Z</x:v>
      </x:c>
      <x:c r="O257" s="20" t="d">
        <x:v>2026-10-16T00:00:00.000Z</x:v>
      </x:c>
      <x:c r="P257" s="24" t="str">
        <x:v>COP-EFA035E06D</x:v>
      </x:c>
      <x:c r="Q257" s="19" t="str">
        <x:v>Documented GA rollout</x:v>
      </x:c>
      <x:c r="R257" s="19" t="str">
        <x:v>Source is the official GA/Current Channel release-note feed, checked 2026-10-16. Header date is documentation date; actual release is only bounded by the stated window.</x:v>
      </x:c>
      <x:c r="S257" s="19" t="str"/>
      <x:c r="T257" s="19" t="str">
        <x:v>511797</x:v>
      </x:c>
      <x:c r="U257" s="20"/>
    </x:row>
    <x:row r="258" ht="100" customHeight="1">
      <x:c r="A258" s="21" t="d">
        <x:v>2026-07-01T00:00:00.000Z</x:v>
      </x:c>
      <x:c r="B258" s="19" t="str">
        <x:v>Release-note report date. Documented GA rollout. Availability precision: Release window; exact day unknown</x:v>
      </x:c>
      <x:c r="C258" s="19" t="str">
        <x:v>OneNote</x:v>
      </x:c>
      <x:c r="D258" s="19" t="str">
        <x:v>Multimodal notebook capture on iPhone</x:v>
      </x:c>
      <x:c r="E258" s="19" t="str">
        <x:v>Combine spoken notes, photographs and typing into a structured notebook page.</x:v>
      </x:c>
      <x:c r="F258" s="23" t="str">
        <x:v>High</x:v>
      </x:c>
      <x:c r="G258" s="19" t="str">
        <x:v>Capture a whiteboard workshop and consolidate its discussion and visuals.</x:v>
      </x:c>
      <x:c r="H258" s="19" t="str">
        <x:v>Preserves richer context from in-person workshops and conversations.</x:v>
      </x:c>
      <x:c r="I258" s="19" t="str">
        <x:v>GA feed; staged deployment</x:v>
      </x:c>
      <x:c r="J258" s="19" t="str">
        <x:v>Not specified in dated entry; verify tenant entitlement
iOS
Gradual tenant rollout; exact per-user availability is not established. Licensing is not specified in this entry.</x:v>
      </x:c>
      <x:c r="K258" s="19" t="str">
        <x:v>2026-06-16 to 2026-07-01</x:v>
      </x:c>
      <x:c r="L258" s="25" t="str">
        <x:f>IFERROR(HYPERLINK("https://learn.microsoft.com/en-us/microsoft-365/copilot/release-notes#july-01-2026","Microsoft 365 Copilot release notes — July 01, 2026"),"Microsoft 365 Copilot release notes — July 01, 2026")</x:f>
        <x:v>Microsoft 365 Copilot release notes — July 01, 2026</x:v>
      </x:c>
      <x:c r="M258" s="25" t="str">
        <x:f>IFERROR(HYPERLINK("https://support.microsoft.com/Microsoft-365-Copilot/capture-conversations-copilot-notebooks","Additional Microsoft source"),"Additional Microsoft source")</x:f>
        <x:v>Additional Microsoft source</x:v>
      </x:c>
      <x:c r="N258" s="20" t="d">
        <x:v>2026-07-01T00:00:00.000Z</x:v>
      </x:c>
      <x:c r="O258" s="20" t="d">
        <x:v>2026-10-16T00:00:00.000Z</x:v>
      </x:c>
      <x:c r="P258" s="24" t="str">
        <x:v>COP-E0AF11E931</x:v>
      </x:c>
      <x:c r="Q258" s="19" t="str">
        <x:v>Documented GA rollout</x:v>
      </x:c>
      <x:c r="R258"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258" s="19" t="str"/>
      <x:c r="T258" s="19" t="str">
        <x:v>559095</x:v>
      </x:c>
      <x:c r="U258" s="20"/>
    </x:row>
    <x:row r="259" ht="85" customHeight="1">
      <x:c r="A259" s="21" t="d">
        <x:v>2026-07-01T00:00:00.000Z</x:v>
      </x:c>
      <x:c r="B259" s="19" t="str">
        <x:v>Release-note report date. Documented GA rollout. Availability precision: Release window; exact day unknown</x:v>
      </x:c>
      <x:c r="C259" s="19" t="str">
        <x:v>Outlook</x:v>
      </x:c>
      <x:c r="D259" s="19" t="str">
        <x:v>Broader Outlook Copilot grounding</x:v>
      </x:c>
      <x:c r="E259" s="19" t="str">
        <x:v>Copilot Chat in Outlook can reason across mailbox, calendar and enterprise context.</x:v>
      </x:c>
      <x:c r="F259" s="23" t="str">
        <x:v>High</x:v>
      </x:c>
      <x:c r="G259" s="19" t="str">
        <x:v>Prepare a customer-meeting brief using correspondence and organizational knowledge.</x:v>
      </x:c>
      <x:c r="H259" s="19" t="str">
        <x:v>Combines scheduling, correspondence and organizational knowledge in one workflow.</x:v>
      </x:c>
      <x:c r="I259" s="19" t="str">
        <x:v>GA feed; staged deployment</x:v>
      </x:c>
      <x:c r="J259" s="19" t="str">
        <x:v>Not specified in dated entry; verify tenant entitlement
Android, Windows, iOS, Mac, Web
Gradual tenant rollout; exact per-user availability is not established. Licensing is not specified in this entry.</x:v>
      </x:c>
      <x:c r="K259" s="19" t="str">
        <x:v>2026-06-16 to 2026-07-01</x:v>
      </x:c>
      <x:c r="L259" s="25" t="str">
        <x:f>IFERROR(HYPERLINK("https://learn.microsoft.com/en-us/microsoft-365/copilot/release-notes#july-01-2026","Microsoft 365 Copilot release notes — July 01, 2026"),"Microsoft 365 Copilot release notes — July 01, 2026")</x:f>
        <x:v>Microsoft 365 Copilot release notes — July 01, 2026</x:v>
      </x:c>
      <x:c r="M259" s="25" t="str"/>
      <x:c r="N259" s="20" t="d">
        <x:v>2026-07-01T00:00:00.000Z</x:v>
      </x:c>
      <x:c r="O259" s="20" t="d">
        <x:v>2026-10-16T00:00:00.000Z</x:v>
      </x:c>
      <x:c r="P259" s="24" t="str">
        <x:v>COP-A6A256B5C6</x:v>
      </x:c>
      <x:c r="Q259" s="19" t="str">
        <x:v>Documented GA rollout</x:v>
      </x:c>
      <x:c r="R259" s="19" t="str">
        <x:v>Source is the official GA/Current Channel release-note feed, checked 2026-10-16. Header date is documentation date; actual release is only bounded by the stated window.</x:v>
      </x:c>
      <x:c r="S259" s="19" t="str"/>
      <x:c r="T259" s="19" t="str">
        <x:v>531910</x:v>
      </x:c>
      <x:c r="U259" s="20"/>
    </x:row>
    <x:row r="260" ht="85" customHeight="1">
      <x:c r="A260" s="21" t="d">
        <x:v>2026-07-01T00:00:00.000Z</x:v>
      </x:c>
      <x:c r="B260" s="19" t="str">
        <x:v>Release-note report date. Documented GA rollout. Availability precision: Release window; exact day unknown</x:v>
      </x:c>
      <x:c r="C260" s="19" t="str">
        <x:v>PowerPoint</x:v>
      </x:c>
      <x:c r="D260" s="19" t="str">
        <x:v>Reuse existing slide content and style</x:v>
      </x:c>
      <x:c r="E260" s="19" t="str">
        <x:v>Copilot can incorporate content and design cues from existing presentations.</x:v>
      </x:c>
      <x:c r="F260" s="23" t="str">
        <x:v>High</x:v>
      </x:c>
      <x:c r="G260" s="19" t="str">
        <x:v>Refresh a quarterly business review without rebuilding its visual structure.</x:v>
      </x:c>
      <x:c r="H260" s="19" t="str">
        <x:v>Reduces rework when refreshing established business decks.</x:v>
      </x:c>
      <x:c r="I260" s="19" t="str">
        <x:v>GA feed; staged deployment</x:v>
      </x:c>
      <x:c r="J260" s="19" t="str">
        <x:v>Not specified in dated entry; verify tenant entitlement
Windows, Web, Mac
Gradual tenant rollout; exact per-user availability is not established. Licensing is not specified in this entry.</x:v>
      </x:c>
      <x:c r="K260" s="19" t="str">
        <x:v>2026-06-16 to 2026-07-01</x:v>
      </x:c>
      <x:c r="L260" s="25" t="str">
        <x:f>IFERROR(HYPERLINK("https://learn.microsoft.com/en-us/microsoft-365/copilot/release-notes#july-01-2026","Microsoft 365 Copilot release notes — July 01, 2026"),"Microsoft 365 Copilot release notes — July 01, 2026")</x:f>
        <x:v>Microsoft 365 Copilot release notes — July 01, 2026</x:v>
      </x:c>
      <x:c r="M260" s="25" t="str"/>
      <x:c r="N260" s="20" t="d">
        <x:v>2026-07-01T00:00:00.000Z</x:v>
      </x:c>
      <x:c r="O260" s="20" t="d">
        <x:v>2026-10-16T00:00:00.000Z</x:v>
      </x:c>
      <x:c r="P260" s="24" t="str">
        <x:v>COP-F2A6949BB6</x:v>
      </x:c>
      <x:c r="Q260" s="19" t="str">
        <x:v>Documented GA rollout</x:v>
      </x:c>
      <x:c r="R260" s="19" t="str">
        <x:v>Source is the official GA/Current Channel release-note feed, checked 2026-10-16. Header date is documentation date; actual release is only bounded by the stated window.</x:v>
      </x:c>
      <x:c r="S260" s="19" t="str"/>
      <x:c r="T260" s="19" t="str">
        <x:v>555887, 555889, 555892</x:v>
      </x:c>
      <x:c r="U260" s="20"/>
    </x:row>
    <x:row r="261" ht="85" customHeight="1">
      <x:c r="A261" s="21" t="d">
        <x:v>2026-07-01T00:00:00.000Z</x:v>
      </x:c>
      <x:c r="B261" s="19" t="str">
        <x:v>Release-note report date. Documented GA rollout. Availability precision: Release window; exact day unknown</x:v>
      </x:c>
      <x:c r="C261" s="19" t="str">
        <x:v>PowerPoint</x:v>
      </x:c>
      <x:c r="D261" s="19" t="str">
        <x:v>Teams references for PowerPoint creation</x:v>
      </x:c>
      <x:c r="E261" s="19" t="str">
        <x:v>Use a Teams meeting or chat as presentation source material.</x:v>
      </x:c>
      <x:c r="F261" s="23" t="str">
        <x:v>High</x:v>
      </x:c>
      <x:c r="G261" s="19" t="str">
        <x:v>Turn a planning meeting into an executive decision deck.</x:v>
      </x:c>
      <x:c r="H261" s="19" t="str">
        <x:v>Converts meeting decisions directly into presentation source material.</x:v>
      </x:c>
      <x:c r="I261" s="19" t="str">
        <x:v>GA feed; staged deployment</x:v>
      </x:c>
      <x:c r="J261" s="19" t="str">
        <x:v>Not specified in dated entry; verify tenant entitlement
Windows, Web, Mac
Gradual tenant rollout; exact per-user availability is not established. Licensing is not specified in this entry.</x:v>
      </x:c>
      <x:c r="K261" s="19" t="str">
        <x:v>2026-06-16 to 2026-07-01</x:v>
      </x:c>
      <x:c r="L261" s="25" t="str">
        <x:f>IFERROR(HYPERLINK("https://learn.microsoft.com/en-us/microsoft-365/copilot/release-notes#july-01-2026","Microsoft 365 Copilot release notes — July 01, 2026"),"Microsoft 365 Copilot release notes — July 01, 2026")</x:f>
        <x:v>Microsoft 365 Copilot release notes — July 01, 2026</x:v>
      </x:c>
      <x:c r="M261" s="25" t="str"/>
      <x:c r="N261" s="20" t="d">
        <x:v>2026-07-01T00:00:00.000Z</x:v>
      </x:c>
      <x:c r="O261" s="20" t="d">
        <x:v>2026-10-16T00:00:00.000Z</x:v>
      </x:c>
      <x:c r="P261" s="24" t="str">
        <x:v>COP-EE25485345</x:v>
      </x:c>
      <x:c r="Q261" s="19" t="str">
        <x:v>Documented GA rollout</x:v>
      </x:c>
      <x:c r="R261" s="19" t="str">
        <x:v>Source is the official GA/Current Channel release-note feed, checked 2026-10-16. Header date is documentation date; actual release is only bounded by the stated window.</x:v>
      </x:c>
      <x:c r="S261" s="19" t="str"/>
      <x:c r="T261" s="19" t="str">
        <x:v>555885, 555884, 555883</x:v>
      </x:c>
      <x:c r="U261" s="20"/>
    </x:row>
    <x:row r="262" ht="85" customHeight="1">
      <x:c r="A262" s="21" t="d">
        <x:v>2026-07-01T00:00:00.000Z</x:v>
      </x:c>
      <x:c r="B262" s="19" t="str">
        <x:v>Release-note report date. Documented GA rollout. Availability precision: Release window; exact day unknown</x:v>
      </x:c>
      <x:c r="C262" s="19" t="str">
        <x:v>PowerPoint</x:v>
      </x:c>
      <x:c r="D262" s="19" t="str">
        <x:v>Work IQ-grounded PowerPoint generation</x:v>
      </x:c>
      <x:c r="E262" s="19" t="str">
        <x:v>Agent Mode uses work context to build presentations.</x:v>
      </x:c>
      <x:c r="F262" s="23" t="str">
        <x:v>High</x:v>
      </x:c>
      <x:c r="G262" s="19" t="str">
        <x:v>Create a project update from relevant organizational information.</x:v>
      </x:c>
      <x:c r="H262" s="19" t="str">
        <x:v>Grounds initial decks in relevant internal work context.</x:v>
      </x:c>
      <x:c r="I262" s="19" t="str">
        <x:v>GA feed; staged deployment</x:v>
      </x:c>
      <x:c r="J262" s="19" t="str">
        <x:v>Not specified in dated entry; verify tenant entitlement
Windows
Gradual tenant rollout; exact per-user availability is not established. Licensing is not specified in this entry.</x:v>
      </x:c>
      <x:c r="K262" s="19" t="str">
        <x:v>2026-06-16 to 2026-07-01</x:v>
      </x:c>
      <x:c r="L262" s="25" t="str">
        <x:f>IFERROR(HYPERLINK("https://learn.microsoft.com/en-us/microsoft-365/copilot/release-notes#july-01-2026","Microsoft 365 Copilot release notes — July 01, 2026"),"Microsoft 365 Copilot release notes — July 01, 2026")</x:f>
        <x:v>Microsoft 365 Copilot release notes — July 01, 2026</x:v>
      </x:c>
      <x:c r="M262" s="25" t="str"/>
      <x:c r="N262" s="20" t="d">
        <x:v>2026-07-01T00:00:00.000Z</x:v>
      </x:c>
      <x:c r="O262" s="20" t="d">
        <x:v>2026-10-16T00:00:00.000Z</x:v>
      </x:c>
      <x:c r="P262" s="24" t="str">
        <x:v>COP-3D7FD0BBE3</x:v>
      </x:c>
      <x:c r="Q262" s="19" t="str">
        <x:v>Documented GA rollout</x:v>
      </x:c>
      <x:c r="R262" s="19" t="str">
        <x:v>Source is the official GA/Current Channel release-note feed, checked 2026-10-16. Header date is documentation date; actual release is only bounded by the stated window.</x:v>
      </x:c>
      <x:c r="S262" s="19" t="str"/>
      <x:c r="T262" s="19" t="str">
        <x:v>555874</x:v>
      </x:c>
      <x:c r="U262" s="20"/>
    </x:row>
    <x:row r="263" ht="85" customHeight="1">
      <x:c r="A263" s="21" t="d">
        <x:v>2026-07-01T00:00:00.000Z</x:v>
      </x:c>
      <x:c r="B263" s="19" t="str">
        <x:v>Release-note report date. Documented GA rollout. Availability precision: Release window; exact day unknown</x:v>
      </x:c>
      <x:c r="C263" s="19" t="str">
        <x:v>Viva Insights</x:v>
      </x:c>
      <x:c r="D263" s="19" t="str">
        <x:v>All licensed users in Copilot Dashboard</x:v>
      </x:c>
      <x:c r="E263" s="19" t="str">
        <x:v>A dashboard view brings the full licensed-user population into analysis.</x:v>
      </x:c>
      <x:c r="F263" s="23" t="str">
        <x:v>Medium</x:v>
      </x:c>
      <x:c r="G263" s="19" t="str">
        <x:v>Identify licensed users whose adoption needs targeted support.</x:v>
      </x:c>
      <x:c r="H263" s="19" t="str">
        <x:v>Makes license-assignment and adoption gaps easier to analyze.</x:v>
      </x:c>
      <x:c r="I263" s="19" t="str">
        <x:v>GA feed; staged deployment</x:v>
      </x:c>
      <x:c r="J263" s="19" t="str">
        <x:v>Not specified in dated entry; verify tenant entitlement
Web
Gradual tenant rollout; exact per-user availability is not established. Licensing is not specified in this entry.</x:v>
      </x:c>
      <x:c r="K263" s="19" t="str">
        <x:v>2026-06-16 to 2026-07-01</x:v>
      </x:c>
      <x:c r="L263" s="25" t="str">
        <x:f>IFERROR(HYPERLINK("https://learn.microsoft.com/en-us/microsoft-365/copilot/release-notes#july-01-2026","Microsoft 365 Copilot release notes — July 01, 2026"),"Microsoft 365 Copilot release notes — July 01, 2026")</x:f>
        <x:v>Microsoft 365 Copilot release notes — July 01, 2026</x:v>
      </x:c>
      <x:c r="M263" s="25"/>
      <x:c r="N263" s="20" t="d">
        <x:v>2026-07-01T00:00:00.000Z</x:v>
      </x:c>
      <x:c r="O263" s="20" t="d">
        <x:v>2026-10-16T00:00:00.000Z</x:v>
      </x:c>
      <x:c r="P263" s="24" t="str">
        <x:v>COP-56B09F4C32</x:v>
      </x:c>
      <x:c r="Q263" s="19" t="str">
        <x:v>Documented GA rollout</x:v>
      </x:c>
      <x:c r="R263" s="19" t="str">
        <x:v>Source is the official GA/Current Channel release-note feed, checked 2026-10-16. Header date is documentation date; actual release is only bounded by the stated window.</x:v>
      </x:c>
      <x:c r="S263" s="19" t="str"/>
      <x:c r="T263" s="19" t="str">
        <x:v>559475</x:v>
      </x:c>
      <x:c r="U263" s="20"/>
    </x:row>
    <x:row r="264" ht="85" customHeight="1">
      <x:c r="A264" s="21" t="d">
        <x:v>2026-07-01T00:00:00.000Z</x:v>
      </x:c>
      <x:c r="B264" s="19" t="str">
        <x:v>Release-note report date. Documented GA rollout. Availability precision: Release window; exact day unknown</x:v>
      </x:c>
      <x:c r="C264" s="19" t="str">
        <x:v>Word</x:v>
      </x:c>
      <x:c r="D264" s="19" t="str">
        <x:v>Conversational Word audio overviews</x:v>
      </x:c>
      <x:c r="E264" s="19" t="str">
        <x:v>Ask spoken questions while listening to a document audio overview.</x:v>
      </x:c>
      <x:c r="F264" s="23" t="str">
        <x:v>Medium</x:v>
      </x:c>
      <x:c r="G264" s="19" t="str">
        <x:v>Clarify unfamiliar terminology while reviewing a report by audio.</x:v>
      </x:c>
      <x:c r="H264" s="19" t="str">
        <x:v>Allows clarification during audio document review.</x:v>
      </x:c>
      <x:c r="I264" s="19" t="str">
        <x:v>GA feed; staged deployment</x:v>
      </x:c>
      <x:c r="J264" s="19" t="str">
        <x:v>Not specified in dated entry; verify tenant entitlement
Web
Gradual tenant rollout; exact per-user availability is not established. Licensing is not specified in this entry.</x:v>
      </x:c>
      <x:c r="K264" s="19" t="str">
        <x:v>2026-06-16 to 2026-07-01</x:v>
      </x:c>
      <x:c r="L264" s="25" t="str">
        <x:f>IFERROR(HYPERLINK("https://learn.microsoft.com/en-us/microsoft-365/copilot/release-notes#july-01-2026","Microsoft 365 Copilot release notes — July 01, 2026"),"Microsoft 365 Copilot release notes — July 01, 2026")</x:f>
        <x:v>Microsoft 365 Copilot release notes — July 01, 2026</x:v>
      </x:c>
      <x:c r="M264" s="25" t="str"/>
      <x:c r="N264" s="20" t="d">
        <x:v>2026-07-01T00:00:00.000Z</x:v>
      </x:c>
      <x:c r="O264" s="20" t="d">
        <x:v>2026-10-16T00:00:00.000Z</x:v>
      </x:c>
      <x:c r="P264" s="24" t="str">
        <x:v>COP-43DB6B7D6E</x:v>
      </x:c>
      <x:c r="Q264" s="19" t="str">
        <x:v>Documented GA rollout</x:v>
      </x:c>
      <x:c r="R264" s="19" t="str">
        <x:v>Source is the official GA/Current Channel release-note feed, checked 2026-10-16. Header date is documentation date; actual release is only bounded by the stated window.</x:v>
      </x:c>
      <x:c r="S264" s="19" t="str"/>
      <x:c r="T264" s="19" t="str">
        <x:v>523206</x:v>
      </x:c>
      <x:c r="U264" s="20"/>
    </x:row>
    <x:row r="265" ht="100" customHeight="1">
      <x:c r="A265" s="21" t="d">
        <x:v>2026-06-30T00:00:00.000Z</x:v>
      </x:c>
      <x:c r="B265" s="19" t="str">
        <x:v>Release-note report date. Reported rollout. Availability precision: Exact announcement day; availability month or window only</x:v>
      </x:c>
      <x:c r="C265" s="19" t="str">
        <x:v>Copilot Chat</x:v>
      </x:c>
      <x:c r="D265" s="19" t="str">
        <x:v>Deep file citations</x:v>
      </x:c>
      <x:c r="E265" s="19" t="str">
        <x:v>Citations can open the relevant part of a Word or PowerPoint source.</x:v>
      </x:c>
      <x:c r="F265" s="23" t="str">
        <x:v>High</x:v>
      </x:c>
      <x:c r="G265" s="19" t="str">
        <x:v>Check the exact supporting passage behind a report summary.</x:v>
      </x:c>
      <x:c r="H265" s="19" t="str">
        <x:v>Makes verification of AI-generated claims substantially more practical.</x:v>
      </x:c>
      <x:c r="I265" s="19" t="str">
        <x:v>Reported rollout</x:v>
      </x:c>
      <x:c r="J265" s="19" t="str">
        <x:v>Not specified in dated announcement; verify tenant entitlement
Word and PowerPoint initially; other source types planned
Reported rollout. Word and PowerPoint initially; other source types planned. Not specified in dated announcement; verify tenant entitlement.</x:v>
      </x:c>
      <x:c r="K265" s="19" t="str">
        <x:v>2026-06</x:v>
      </x:c>
      <x:c r="L265"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65" s="25" t="str"/>
      <x:c r="N265" s="20" t="d">
        <x:v>2026-06-30T00:00:00.000Z</x:v>
      </x:c>
      <x:c r="O265" s="20" t="d">
        <x:v>2026-10-16T00:00:00.000Z</x:v>
      </x:c>
      <x:c r="P265" s="24" t="str">
        <x:v>COP-F5396EA4D8</x:v>
      </x:c>
      <x:c r="Q265" s="19" t="str">
        <x:v>Reported rollout</x:v>
      </x:c>
      <x:c r="R265" s="19" t="str">
        <x:v>Checked 2026-10-16. Availability is the historical state stated by this source, not proof of availability for every tenant today. Monthly recaps are editable and state dates are tentative. </x:v>
      </x:c>
      <x:c r="S265" s="19" t="str"/>
      <x:c r="T265" s="19" t="str"/>
      <x:c r="U265" s="20" t="d">
        <x:v>2026-06-30T00:00:00.000Z</x:v>
      </x:c>
    </x:row>
    <x:row r="266" ht="130" customHeight="1">
      <x:c r="A266" s="21" t="d">
        <x:v>2026-06-30T00:00:00.000Z</x:v>
      </x:c>
      <x:c r="B266" s="19" t="str">
        <x:v>Release-note report date. Reported rollout. Availability precision: Exact announcement day; availability month or window only</x:v>
      </x:c>
      <x:c r="C266" s="19" t="str">
        <x:v>Copilot Chat</x:v>
      </x:c>
      <x:c r="D266" s="19" t="str">
        <x:v>Regenerate or switch model</x:v>
      </x:c>
      <x:c r="E266" s="19" t="str">
        <x:v>Request another answer or change model without rebuilding the prompt.</x:v>
      </x:c>
      <x:c r="F266" s="23" t="str">
        <x:v>Medium</x:v>
      </x:c>
      <x:c r="G266" s="19" t="str">
        <x:v>Compare a second approach to an analytical question.</x:v>
      </x:c>
      <x:c r="H266" s="19" t="str">
        <x:v>Shortens iteration when the first response misses the need.</x:v>
      </x:c>
      <x:c r="I266" s="19" t="str">
        <x:v>Reported rollout</x:v>
      </x:c>
      <x:c r="J266" s="19" t="str">
        <x:v>Not specified in dated announcement; verify tenant entitlement
Platform/region not specified
Reported rollout. Platform/region not specified. Not specified in dated announcement; verify tenant entitlement.</x:v>
      </x:c>
      <x:c r="K266" s="19" t="str">
        <x:v>2026-06</x:v>
      </x:c>
      <x:c r="L266"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66" s="25" t="str">
        <x:f>IFERROR(HYPERLINK("https://learn.microsoft.com/en-us/microsoft-365/copilot/release-notes#october-06-2026","Microsoft release notes, 2026-10-06"),"Microsoft release notes, 2026-10-06")</x:f>
        <x:v>Microsoft release notes, 2026-10-06</x:v>
      </x:c>
      <x:c r="N266" s="20" t="d">
        <x:v>2026-06-30T00:00:00.000Z</x:v>
      </x:c>
      <x:c r="O266" s="20" t="d">
        <x:v>2026-10-16T00:00:00.000Z</x:v>
      </x:c>
      <x:c r="P266" s="24" t="str">
        <x:v>COP-76FE36E560</x:v>
      </x:c>
      <x:c r="Q266" s="19" t="str">
        <x:v>Reported rollout</x:v>
      </x:c>
      <x:c r="R266" s="19" t="str">
        <x:v>Checked 2026-10-16. Availability is the historical state stated by this source, not proof of availability for every tenant today. Monthly recaps are editable and state dates are tentative. The GA release-note feed repeats this feature on October 6; original broader rollout timing is ambiguous. Later corroboration: 2026-10-06 release-note batch, covering 2026-09-22 to 2026-10-06. This later mention is not counted as another first launch.</x:v>
      </x:c>
      <x:c r="S266" s="19" t="str"/>
      <x:c r="T266" s="19" t="str"/>
      <x:c r="U266" s="20" t="d">
        <x:v>2026-06-30T00:00:00.000Z</x:v>
      </x:c>
    </x:row>
    <x:row r="267" ht="85" customHeight="1">
      <x:c r="A267" s="21" t="d">
        <x:v>2026-06-30T00:00:00.000Z</x:v>
      </x:c>
      <x:c r="B267" s="19" t="str">
        <x:v>Planned rollout. Availability precision: Exact announcement day; future availability not established</x:v>
      </x:c>
      <x:c r="C267" s="19" t="str">
        <x:v>Copilot Chat</x:v>
      </x:c>
      <x:c r="D267" s="19" t="str">
        <x:v>Vision with screen or camera context</x:v>
      </x:c>
      <x:c r="E267" s="19" t="str">
        <x:v>Ask spoken questions grounded in shared visual context.</x:v>
      </x:c>
      <x:c r="F267" s="23" t="str">
        <x:v>High</x:v>
      </x:c>
      <x:c r="G267" s="19" t="str">
        <x:v>Explain a visible dashboard or error message in context.</x:v>
      </x:c>
      <x:c r="H267" s="19" t="str">
        <x:v>Adds assistance for information that is awkward to describe in text.</x:v>
      </x:c>
      <x:c r="I267" s="19" t="str">
        <x:v>Planned rollout</x:v>
      </x:c>
      <x:c r="J267" s="19" t="str">
        <x:v>Not specified in dated announcement; verify tenant entitlement
Platform/region not specified
Planned rollout. Platform/region not specified. Not specified in dated announcement; verify tenant entitlement.</x:v>
      </x:c>
      <x:c r="K267" s="19" t="str">
        <x:v>2026-07</x:v>
      </x:c>
      <x:c r="L267"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67" s="25" t="str"/>
      <x:c r="N267" s="20" t="d">
        <x:v>2026-06-30T00:00:00.000Z</x:v>
      </x:c>
      <x:c r="O267" s="20" t="d">
        <x:v>2026-10-16T00:00:00.000Z</x:v>
      </x:c>
      <x:c r="P267" s="24" t="str">
        <x:v>COP-C9545BC848</x:v>
      </x:c>
      <x:c r="Q267" s="19" t="str">
        <x:v>Planned rollout</x:v>
      </x:c>
      <x:c r="R267" s="19" t="str">
        <x:v>Checked 2026-10-16. Availability is the historical state stated by this source, not proof of availability for every tenant today. Monthly recaps are editable and state dates are tentative. July month is not evidence it shipped by July 15.</x:v>
      </x:c>
      <x:c r="S267" s="19" t="str"/>
      <x:c r="T267" s="19" t="str"/>
      <x:c r="U267" s="20" t="d">
        <x:v>2026-06-30T00:00:00.000Z</x:v>
      </x:c>
    </x:row>
    <x:row r="268" ht="85" customHeight="1">
      <x:c r="A268" s="21" t="d">
        <x:v>2026-06-30T00:00:00.000Z</x:v>
      </x:c>
      <x:c r="B268" s="19" t="str">
        <x:v>Release-note report date. Public preview. Availability precision: Exact announcement day; availability month or window only</x:v>
      </x:c>
      <x:c r="C268" s="19" t="str">
        <x:v>Copilot Chat / Work IQ</x:v>
      </x:c>
      <x:c r="D268" s="19" t="str">
        <x:v>Dataverse grounding</x:v>
      </x:c>
      <x:c r="E268" s="19" t="str">
        <x:v>Query Dataverse business records through Copilot Chat.</x:v>
      </x:c>
      <x:c r="F268" s="23" t="str">
        <x:v>High</x:v>
      </x:c>
      <x:c r="G268" s="19" t="str">
        <x:v>Ask for context about customer records without switching into the source app.</x:v>
      </x:c>
      <x:c r="H268" s="19" t="str">
        <x:v>Brings structured operational records into daily question-answering.</x:v>
      </x:c>
      <x:c r="I268" s="19" t="str">
        <x:v>Public preview</x:v>
      </x:c>
      <x:c r="J268" s="19" t="str">
        <x:v>Not specified in dated announcement; verify tenant entitlement
Platform/region not specified
Public preview. Platform/region not specified. Not specified in dated announcement; verify tenant entitlement.</x:v>
      </x:c>
      <x:c r="K268" s="19" t="str">
        <x:v>2026-06</x:v>
      </x:c>
      <x:c r="L268"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68" s="25" t="str"/>
      <x:c r="N268" s="20" t="d">
        <x:v>2026-06-30T00:00:00.000Z</x:v>
      </x:c>
      <x:c r="O268" s="20" t="d">
        <x:v>2026-10-16T00:00:00.000Z</x:v>
      </x:c>
      <x:c r="P268" s="24" t="str">
        <x:v>COP-4747D1330B</x:v>
      </x:c>
      <x:c r="Q268" s="19" t="str">
        <x:v>Public preview</x:v>
      </x:c>
      <x:c r="R268" s="19" t="str">
        <x:v>Checked 2026-10-16. Availability is the historical state stated by this source, not proof of availability for every tenant today. Monthly recaps are editable and state dates are tentative. September GA is only a forecast in this June source.</x:v>
      </x:c>
      <x:c r="S268" s="19" t="str"/>
      <x:c r="T268" s="19" t="str"/>
      <x:c r="U268" s="20" t="d">
        <x:v>2026-06-30T00:00:00.000Z</x:v>
      </x:c>
    </x:row>
    <x:row r="269" ht="85" customHeight="1">
      <x:c r="A269" s="21" t="d">
        <x:v>2026-06-30T00:00:00.000Z</x:v>
      </x:c>
      <x:c r="B269" s="19" t="str">
        <x:v>Release-note report date. Frontier preview. Availability precision: Exact announcement day; availability month or window only</x:v>
      </x:c>
      <x:c r="C269" s="19" t="str">
        <x:v>Copilot Chat / Work IQ</x:v>
      </x:c>
      <x:c r="D269" s="19" t="str">
        <x:v>Power BI grounding</x:v>
      </x:c>
      <x:c r="E269" s="19" t="str">
        <x:v>Ask questions grounded in Power BI reports and semantic models.</x:v>
      </x:c>
      <x:c r="F269" s="23" t="str">
        <x:v>High</x:v>
      </x:c>
      <x:c r="G269" s="19" t="str">
        <x:v>Investigate performance using existing BI definitions.</x:v>
      </x:c>
      <x:c r="H269" s="19" t="str">
        <x:v>Connects conversational work with governed business metrics.</x:v>
      </x:c>
      <x:c r="I269" s="19" t="str">
        <x:v>Frontier preview</x:v>
      </x:c>
      <x:c r="J269" s="19" t="str">
        <x:v>Not specified in dated announcement; verify tenant entitlement
Platform/region not specified
Frontier preview. Platform/region not specified. Not specified in dated announcement; verify tenant entitlement.</x:v>
      </x:c>
      <x:c r="K269" s="19" t="str">
        <x:v>2026-06</x:v>
      </x:c>
      <x:c r="L269"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69" s="25" t="str"/>
      <x:c r="N269" s="20" t="d">
        <x:v>2026-06-30T00:00:00.000Z</x:v>
      </x:c>
      <x:c r="O269" s="20" t="d">
        <x:v>2026-10-16T00:00:00.000Z</x:v>
      </x:c>
      <x:c r="P269" s="24" t="str">
        <x:v>COP-35A33711A0</x:v>
      </x:c>
      <x:c r="Q269" s="19" t="str">
        <x:v>Frontier preview</x:v>
      </x:c>
      <x:c r="R269" s="19" t="str">
        <x:v>Checked 2026-10-16. Availability is the historical state stated by this source, not proof of availability for every tenant today. Monthly recaps are editable and state dates are tentative. </x:v>
      </x:c>
      <x:c r="S269" s="19" t="str"/>
      <x:c r="T269" s="19" t="str"/>
      <x:c r="U269" s="20" t="d">
        <x:v>2026-06-30T00:00:00.000Z</x:v>
      </x:c>
    </x:row>
    <x:row r="270" ht="85" customHeight="1">
      <x:c r="A270" s="21" t="d">
        <x:v>2026-06-30T00:00:00.000Z</x:v>
      </x:c>
      <x:c r="B270" s="19" t="str">
        <x:v>Release-note report date. Reported rollout. Availability precision: Exact announcement day; availability month or window only</x:v>
      </x:c>
      <x:c r="C270" s="19" t="str">
        <x:v>Copilot Cowork</x:v>
      </x:c>
      <x:c r="D270" s="19" t="str">
        <x:v>Cowork branded presentation templates</x:v>
      </x:c>
      <x:c r="E270" s="19" t="str">
        <x:v>Use organizational PowerPoint templates during deck creation.</x:v>
      </x:c>
      <x:c r="F270" s="23" t="str">
        <x:v>Medium</x:v>
      </x:c>
      <x:c r="G270" s="19" t="str">
        <x:v>Generate a briefing from the company’s approved slide template.</x:v>
      </x:c>
      <x:c r="H270" s="19" t="str">
        <x:v>Reduces cleanup when an agent produces a presentation.</x:v>
      </x:c>
      <x:c r="I270" s="19" t="str">
        <x:v>Reported rollout</x:v>
      </x:c>
      <x:c r="J270" s="19" t="str">
        <x:v>Not specified in dated announcement; verify tenant entitlement
Organization asset library required
Reported rollout. Organization asset library required. Not specified in dated announcement; verify tenant entitlement.</x:v>
      </x:c>
      <x:c r="K270" s="19" t="str">
        <x:v>2026-06</x:v>
      </x:c>
      <x:c r="L270"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0" s="25" t="str"/>
      <x:c r="N270" s="20" t="d">
        <x:v>2026-06-30T00:00:00.000Z</x:v>
      </x:c>
      <x:c r="O270" s="20" t="d">
        <x:v>2026-10-16T00:00:00.000Z</x:v>
      </x:c>
      <x:c r="P270" s="24" t="str">
        <x:v>COP-C5DA449DC7</x:v>
      </x:c>
      <x:c r="Q270" s="19" t="str">
        <x:v>Reported rollout</x:v>
      </x:c>
      <x:c r="R270" s="19" t="str">
        <x:v>Checked 2026-10-16. Availability is the historical state stated by this source, not proof of availability for every tenant today. Monthly recaps are editable and state dates are tentative. </x:v>
      </x:c>
      <x:c r="S270" s="19" t="str"/>
      <x:c r="T270" s="19" t="str"/>
      <x:c r="U270" s="20" t="d">
        <x:v>2026-06-30T00:00:00.000Z</x:v>
      </x:c>
    </x:row>
    <x:row r="271" ht="100" customHeight="1">
      <x:c r="A271" s="21" t="d">
        <x:v>2026-06-30T00:00:00.000Z</x:v>
      </x:c>
      <x:c r="B271" s="19" t="str">
        <x:v>Release-note report date. Frontier preview. Availability precision: Exact announcement day; availability month or window only</x:v>
      </x:c>
      <x:c r="C271" s="19" t="str">
        <x:v>Copilot Cowork</x:v>
      </x:c>
      <x:c r="D271" s="19" t="str">
        <x:v>Cowork local Edge browser use</x:v>
      </x:c>
      <x:c r="E271" s="19" t="str">
        <x:v>Let Cowork operate through the local Edge browser.</x:v>
      </x:c>
      <x:c r="F271" s="23" t="str">
        <x:v>High</x:v>
      </x:c>
      <x:c r="G271" s="19" t="str">
        <x:v>Complete an approved browser-based step in a business workflow.</x:v>
      </x:c>
      <x:c r="H271" s="19" t="str">
        <x:v>Extends work to web systems without a suitable native integration.</x:v>
      </x:c>
      <x:c r="I271" s="19" t="str">
        <x:v>Frontier preview</x:v>
      </x:c>
      <x:c r="J271" s="19" t="str">
        <x:v>Not specified in dated announcement; verify tenant entitlement
Local Edge; enterprise browser policies apply
Frontier preview. Local Edge; enterprise browser policies apply. Not specified in dated announcement; verify tenant entitlement.</x:v>
      </x:c>
      <x:c r="K271" s="19" t="str">
        <x:v>2026-06</x:v>
      </x:c>
      <x:c r="L271"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1" s="25" t="str"/>
      <x:c r="N271" s="20" t="d">
        <x:v>2026-06-30T00:00:00.000Z</x:v>
      </x:c>
      <x:c r="O271" s="20" t="d">
        <x:v>2026-10-16T00:00:00.000Z</x:v>
      </x:c>
      <x:c r="P271" s="24" t="str">
        <x:v>COP-AEB64D84B4</x:v>
      </x:c>
      <x:c r="Q271" s="19" t="str">
        <x:v>Frontier preview</x:v>
      </x:c>
      <x:c r="R271" s="19" t="str">
        <x:v>Checked 2026-10-16. Availability is the historical state stated by this source, not proof of availability for every tenant today. Monthly recaps are editable and state dates are tentative. </x:v>
      </x:c>
      <x:c r="S271" s="19" t="str"/>
      <x:c r="T271" s="19" t="str"/>
      <x:c r="U271" s="20" t="d">
        <x:v>2026-06-30T00:00:00.000Z</x:v>
      </x:c>
    </x:row>
    <x:row r="272" ht="85" customHeight="1">
      <x:c r="A272" s="21" t="d">
        <x:v>2026-06-30T00:00:00.000Z</x:v>
      </x:c>
      <x:c r="B272" s="19" t="str">
        <x:v>Release-note report date. Reported rollout. Availability precision: Exact announcement day; availability month or window only</x:v>
      </x:c>
      <x:c r="C272" s="19" t="str">
        <x:v>Copilot Cowork</x:v>
      </x:c>
      <x:c r="D272" s="19" t="str">
        <x:v>Cowork on mobile</x:v>
      </x:c>
      <x:c r="E272" s="19" t="str">
        <x:v>Start and continue Cowork tasks across iOS and Android.</x:v>
      </x:c>
      <x:c r="F272" s="23" t="str">
        <x:v>Medium</x:v>
      </x:c>
      <x:c r="G272" s="19" t="str">
        <x:v>Review progress and continue a task from a mobile device.</x:v>
      </x:c>
      <x:c r="H272" s="19" t="str">
        <x:v>Makes delegated workflows accessible away from a desktop.</x:v>
      </x:c>
      <x:c r="I272" s="19" t="str">
        <x:v>Reported rollout</x:v>
      </x:c>
      <x:c r="J272" s="19" t="str">
        <x:v>Not specified in dated announcement; verify tenant entitlement
iOS and Android
Reported rollout. iOS and Android. Not specified in dated announcement; verify tenant entitlement.</x:v>
      </x:c>
      <x:c r="K272" s="19" t="str">
        <x:v>2026-06</x:v>
      </x:c>
      <x:c r="L272"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2" s="25" t="str"/>
      <x:c r="N272" s="20" t="d">
        <x:v>2026-06-30T00:00:00.000Z</x:v>
      </x:c>
      <x:c r="O272" s="20" t="d">
        <x:v>2026-10-16T00:00:00.000Z</x:v>
      </x:c>
      <x:c r="P272" s="24" t="str">
        <x:v>COP-FB8C2AD795</x:v>
      </x:c>
      <x:c r="Q272" s="19" t="str">
        <x:v>Reported rollout</x:v>
      </x:c>
      <x:c r="R272" s="19" t="str">
        <x:v>Checked 2026-10-16. Availability is the historical state stated by this source, not proof of availability for every tenant today. Monthly recaps are editable and state dates are tentative. </x:v>
      </x:c>
      <x:c r="S272" s="19" t="str"/>
      <x:c r="T272" s="19" t="str"/>
      <x:c r="U272" s="20" t="d">
        <x:v>2026-06-30T00:00:00.000Z</x:v>
      </x:c>
    </x:row>
    <x:row r="273" ht="115" customHeight="1">
      <x:c r="A273" s="21" t="d">
        <x:v>2026-06-30T00:00:00.000Z</x:v>
      </x:c>
      <x:c r="B273" s="19" t="str">
        <x:v>Release-note report date. Reported rollout. Availability precision: Exact announcement day; availability month or window only</x:v>
      </x:c>
      <x:c r="C273" s="19" t="str">
        <x:v>Copilot Cowork</x:v>
      </x:c>
      <x:c r="D273" s="19" t="str">
        <x:v>Cowork plugin expansion</x:v>
      </x:c>
      <x:c r="E273" s="19" t="str">
        <x:v>Add business-system plugins including Fabric and Dynamics 365.</x:v>
      </x:c>
      <x:c r="F273" s="23" t="str">
        <x:v>High</x:v>
      </x:c>
      <x:c r="G273" s="19" t="str">
        <x:v>Combine CRM context and workplace files in a sales-preparation task.</x:v>
      </x:c>
      <x:c r="H273" s="19" t="str">
        <x:v>Extends delegated work into systems beyond Microsoft 365 documents.</x:v>
      </x:c>
      <x:c r="I273" s="19" t="str">
        <x:v>Reported rollout</x:v>
      </x:c>
      <x:c r="J273" s="19" t="str">
        <x:v>Not specified in dated announcement; verify tenant entitlement
Supported plugins vary; Databricks described separately as sideloading
Reported rollout. Supported plugins vary; Databricks described separately as sideloading. Not specified in dated announcement; verify tenant entitlement.</x:v>
      </x:c>
      <x:c r="K273" s="19" t="str">
        <x:v>2026-06</x:v>
      </x:c>
      <x:c r="L273"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3" s="25" t="str"/>
      <x:c r="N273" s="20" t="d">
        <x:v>2026-06-30T00:00:00.000Z</x:v>
      </x:c>
      <x:c r="O273" s="20" t="d">
        <x:v>2026-10-16T00:00:00.000Z</x:v>
      </x:c>
      <x:c r="P273" s="24" t="str">
        <x:v>COP-45510BD88E</x:v>
      </x:c>
      <x:c r="Q273" s="19" t="str">
        <x:v>Reported rollout</x:v>
      </x:c>
      <x:c r="R273" s="19" t="str">
        <x:v>Checked 2026-10-16. Availability is the historical state stated by this source, not proof of availability for every tenant today. Monthly recaps are editable and state dates are tentative. </x:v>
      </x:c>
      <x:c r="S273" s="19" t="str"/>
      <x:c r="T273" s="19" t="str"/>
      <x:c r="U273" s="20" t="d">
        <x:v>2026-06-30T00:00:00.000Z</x:v>
      </x:c>
    </x:row>
    <x:row r="274" ht="115" customHeight="1">
      <x:c r="A274" s="21" t="d">
        <x:v>2026-06-30T00:00:00.000Z</x:v>
      </x:c>
      <x:c r="B274" s="19" t="str">
        <x:v>Release-note report date. Reported rollout. Availability precision: Exact announcement day; availability month or window only</x:v>
      </x:c>
      <x:c r="C274" s="19" t="str">
        <x:v>Copilot Cowork</x:v>
      </x:c>
      <x:c r="D274" s="19" t="str">
        <x:v>Cowork Purview controls</x:v>
      </x:c>
      <x:c r="E274" s="19" t="str">
        <x:v>Extend labeling, auditing and compliance handling to Cowork interactions.</x:v>
      </x:c>
      <x:c r="F274" s="23" t="str">
        <x:v>Medium</x:v>
      </x:c>
      <x:c r="G274" s="19" t="str">
        <x:v>Apply existing information-governance review to generated work products.</x:v>
      </x:c>
      <x:c r="H274" s="19" t="str">
        <x:v>Makes enterprise review and retention requirements relevant to delegated work. The productivity benefit is indirect and mainly affects administrators or purchasing decisions.</x:v>
      </x:c>
      <x:c r="I274" s="19" t="str">
        <x:v>Reported rollout</x:v>
      </x:c>
      <x:c r="J274" s="19" t="str">
        <x:v>Not specified in dated announcement; verify tenant entitlement
GA source specifies Data Lifecycle Management June 22; DLP separately coming soon
Reported rollout. GA source specifies Data Lifecycle Management June 22; DLP separately coming soon. Not specified in dated announcement; verify tenant entitlement.</x:v>
      </x:c>
      <x:c r="K274" s="19" t="str">
        <x:v>2026-06</x:v>
      </x:c>
      <x:c r="L274"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4" s="25" t="str"/>
      <x:c r="N274" s="20" t="d">
        <x:v>2026-06-30T00:00:00.000Z</x:v>
      </x:c>
      <x:c r="O274" s="20" t="d">
        <x:v>2026-10-16T00:00:00.000Z</x:v>
      </x:c>
      <x:c r="P274" s="24" t="str">
        <x:v>COP-9B0E3E513F</x:v>
      </x:c>
      <x:c r="Q274" s="19" t="str">
        <x:v>Reported rollout</x:v>
      </x:c>
      <x:c r="R274" s="19" t="str">
        <x:v>Checked 2026-10-16. Availability is the historical state stated by this source, not proof of availability for every tenant today. Monthly recaps are editable and state dates are tentative. </x:v>
      </x:c>
      <x:c r="S274" s="19" t="str"/>
      <x:c r="T274" s="19" t="str"/>
      <x:c r="U274" s="20" t="d">
        <x:v>2026-06-30T00:00:00.000Z</x:v>
      </x:c>
    </x:row>
    <x:row r="275" ht="85" customHeight="1">
      <x:c r="A275" s="21" t="d">
        <x:v>2026-06-30T00:00:00.000Z</x:v>
      </x:c>
      <x:c r="B275" s="19" t="str">
        <x:v>Release-note report date. Reported rollout. Availability precision: Exact announcement day; availability month or window only</x:v>
      </x:c>
      <x:c r="C275" s="19" t="str">
        <x:v>Copilot Cowork</x:v>
      </x:c>
      <x:c r="D275" s="19" t="str">
        <x:v>Cowork task notifications</x:v>
      </x:c>
      <x:c r="E275" s="19" t="str">
        <x:v>Receive push alerts for approvals, required input and completed tasks.</x:v>
      </x:c>
      <x:c r="F275" s="23" t="str">
        <x:v>Medium</x:v>
      </x:c>
      <x:c r="G275" s="19" t="str">
        <x:v>Return to an analysis task when it needs a decision.</x:v>
      </x:c>
      <x:c r="H275" s="19" t="str">
        <x:v>Reduces active watching of long-running work.</x:v>
      </x:c>
      <x:c r="I275" s="19" t="str">
        <x:v>Reported rollout</x:v>
      </x:c>
      <x:c r="J275" s="19" t="str">
        <x:v>Not specified in dated announcement; verify tenant entitlement
Push notification support
Reported rollout. Push notification support. Not specified in dated announcement; verify tenant entitlement.</x:v>
      </x:c>
      <x:c r="K275" s="19" t="str">
        <x:v>2026-06</x:v>
      </x:c>
      <x:c r="L275"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5" s="25" t="str"/>
      <x:c r="N275" s="20" t="d">
        <x:v>2026-06-30T00:00:00.000Z</x:v>
      </x:c>
      <x:c r="O275" s="20" t="d">
        <x:v>2026-10-16T00:00:00.000Z</x:v>
      </x:c>
      <x:c r="P275" s="24" t="str">
        <x:v>COP-61FD666558</x:v>
      </x:c>
      <x:c r="Q275" s="19" t="str">
        <x:v>Reported rollout</x:v>
      </x:c>
      <x:c r="R275" s="19" t="str">
        <x:v>Checked 2026-10-16. Availability is the historical state stated by this source, not proof of availability for every tenant today. Monthly recaps are editable and state dates are tentative. </x:v>
      </x:c>
      <x:c r="S275" s="19" t="str"/>
      <x:c r="T275" s="19" t="str"/>
      <x:c r="U275" s="20" t="d">
        <x:v>2026-06-30T00:00:00.000Z</x:v>
      </x:c>
    </x:row>
    <x:row r="276" ht="100" customHeight="1">
      <x:c r="A276" s="21" t="d">
        <x:v>2026-06-30T00:00:00.000Z</x:v>
      </x:c>
      <x:c r="B276" s="19" t="str">
        <x:v>Release-note report date. Reported rollout. Availability precision: Exact announcement day; availability month or window only</x:v>
      </x:c>
      <x:c r="C276" s="19" t="str">
        <x:v>Copilot Cowork</x:v>
      </x:c>
      <x:c r="D276" s="19" t="str">
        <x:v>Cowork-generated visuals</x:v>
      </x:c>
      <x:c r="E276" s="19" t="str">
        <x:v>Create or revise visuals during delegated work.</x:v>
      </x:c>
      <x:c r="F276" s="23" t="str">
        <x:v>Medium</x:v>
      </x:c>
      <x:c r="G276" s="19" t="str">
        <x:v>Produce illustrations alongside a report draft.</x:v>
      </x:c>
      <x:c r="H276" s="19" t="str">
        <x:v>Keeps visual preparation with the rest of a delegated deliverable.</x:v>
      </x:c>
      <x:c r="I276" s="19" t="str">
        <x:v>Reported rollout</x:v>
      </x:c>
      <x:c r="J276" s="19" t="str">
        <x:v>Not specified in dated announcement; verify tenant entitlement
ChatGPT Images 2.0
Reported rollout. ChatGPT Images 2.0. Not specified in dated announcement; verify tenant entitlement.</x:v>
      </x:c>
      <x:c r="K276" s="19" t="str">
        <x:v>2026-06</x:v>
      </x:c>
      <x:c r="L276"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6" s="25" t="str">
        <x:f>IFERROR(HYPERLINK("https://learn.microsoft.com/en-us/microsoft-365/copilot/release-notes#august-25-2026","Microsoft release notes, 2026-08-25"),"Microsoft release notes, 2026-08-25")</x:f>
        <x:v>Microsoft release notes, 2026-08-25</x:v>
      </x:c>
      <x:c r="N276" s="20" t="d">
        <x:v>2026-06-30T00:00:00.000Z</x:v>
      </x:c>
      <x:c r="O276" s="20" t="d">
        <x:v>2026-10-16T00:00:00.000Z</x:v>
      </x:c>
      <x:c r="P276" s="24" t="str">
        <x:v>COP-BB796D3000</x:v>
      </x:c>
      <x:c r="Q276" s="19" t="str">
        <x:v>Reported rollout</x:v>
      </x:c>
      <x:c r="R276" s="19" t="str">
        <x:v>Checked 2026-10-16. Availability is the historical state stated by this source, not proof of availability for every tenant today. Monthly recaps are editable and state dates are tentative.  Later corroboration: 2026-08-25 release-note batch, covering 2026-08-11 to 2026-08-25. This later mention is not counted as another first launch.</x:v>
      </x:c>
      <x:c r="S276" s="19" t="str"/>
      <x:c r="T276" s="19" t="str"/>
      <x:c r="U276" s="20" t="d">
        <x:v>2026-06-30T00:00:00.000Z</x:v>
      </x:c>
    </x:row>
    <x:row r="277" ht="85" customHeight="1">
      <x:c r="A277" s="21" t="d">
        <x:v>2026-06-30T00:00:00.000Z</x:v>
      </x:c>
      <x:c r="B277" s="19" t="str">
        <x:v>Release-note report date. Reported rollout. Availability precision: Exact announcement day; availability month or window only</x:v>
      </x:c>
      <x:c r="C277" s="19" t="str">
        <x:v>Copilot Cowork</x:v>
      </x:c>
      <x:c r="D277" s="19" t="str">
        <x:v>Manage custom Cowork skills</x:v>
      </x:c>
      <x:c r="E277" s="19" t="str">
        <x:v>Create and revise reusable instructions in the Customize tab.</x:v>
      </x:c>
      <x:c r="F277" s="23" t="str">
        <x:v>Medium</x:v>
      </x:c>
      <x:c r="G277" s="19" t="str">
        <x:v>Maintain a reusable preparation workflow for monthly customer reviews.</x:v>
      </x:c>
      <x:c r="H277" s="19" t="str">
        <x:v>Reduces repeated specification of recurring delegated tasks.</x:v>
      </x:c>
      <x:c r="I277" s="19" t="str">
        <x:v>Reported rollout</x:v>
      </x:c>
      <x:c r="J277" s="19" t="str">
        <x:v>Not specified in dated announcement; verify tenant entitlement
Cowork
Reported rollout. Cowork. Not specified in dated announcement; verify tenant entitlement.</x:v>
      </x:c>
      <x:c r="K277" s="19" t="str">
        <x:v>2026-06</x:v>
      </x:c>
      <x:c r="L277"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7" s="25" t="str"/>
      <x:c r="N277" s="20" t="d">
        <x:v>2026-06-30T00:00:00.000Z</x:v>
      </x:c>
      <x:c r="O277" s="20" t="d">
        <x:v>2026-10-16T00:00:00.000Z</x:v>
      </x:c>
      <x:c r="P277" s="24" t="str">
        <x:v>COP-C7A8E8182D</x:v>
      </x:c>
      <x:c r="Q277" s="19" t="str">
        <x:v>Reported rollout</x:v>
      </x:c>
      <x:c r="R277" s="19" t="str">
        <x:v>Checked 2026-10-16. Availability is the historical state stated by this source, not proof of availability for every tenant today. Monthly recaps are editable and state dates are tentative. </x:v>
      </x:c>
      <x:c r="S277" s="19" t="str"/>
      <x:c r="T277" s="19" t="str"/>
      <x:c r="U277" s="20" t="d">
        <x:v>2026-06-30T00:00:00.000Z</x:v>
      </x:c>
    </x:row>
    <x:row r="278" ht="85" customHeight="1">
      <x:c r="A278" s="21" t="d">
        <x:v>2026-06-30T00:00:00.000Z</x:v>
      </x:c>
      <x:c r="B278" s="19" t="str">
        <x:v>Release-note report date. Reported rollout. Availability precision: Exact announcement day; availability month or window only</x:v>
      </x:c>
      <x:c r="C278" s="19" t="str">
        <x:v>Copilot Notebooks</x:v>
      </x:c>
      <x:c r="D278" s="19" t="str">
        <x:v>Access for Copilot Chat users</x:v>
      </x:c>
      <x:c r="E278" s="19" t="str">
        <x:v>Broaden notebook access beyond Microsoft 365 Copilot licensed users.</x:v>
      </x:c>
      <x:c r="F278" s="23" t="str">
        <x:v>High</x:v>
      </x:c>
      <x:c r="G278" s="19" t="str">
        <x:v>Include more colleagues in project-context and study workflows.</x:v>
      </x:c>
      <x:c r="H278" s="19" t="str">
        <x:v>Can materially expand the audience for notebook-based workflows.</x:v>
      </x:c>
      <x:c r="I278" s="19" t="str">
        <x:v>Reported rollout</x:v>
      </x:c>
      <x:c r="J278" s="19" t="str">
        <x:v>Not specified in dated announcement; verify tenant entitlement
Platform/region not specified
Reported rollout. Platform/region not specified. Not specified in dated announcement; verify tenant entitlement.</x:v>
      </x:c>
      <x:c r="K278" s="19" t="str">
        <x:v>2026-06</x:v>
      </x:c>
      <x:c r="L278"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8" s="25" t="str"/>
      <x:c r="N278" s="20" t="d">
        <x:v>2026-06-30T00:00:00.000Z</x:v>
      </x:c>
      <x:c r="O278" s="20" t="d">
        <x:v>2026-10-16T00:00:00.000Z</x:v>
      </x:c>
      <x:c r="P278" s="24" t="str">
        <x:v>COP-594BEF0CC6</x:v>
      </x:c>
      <x:c r="Q278" s="19" t="str">
        <x:v>Reported rollout</x:v>
      </x:c>
      <x:c r="R278" s="19" t="str">
        <x:v>Checked 2026-10-16. Availability is the historical state stated by this source, not proof of availability for every tenant today. Monthly recaps are editable and state dates are tentative. Exact unlicensed entitlement limits are not stated in this recap.</x:v>
      </x:c>
      <x:c r="S278" s="19" t="str"/>
      <x:c r="T278" s="19" t="str"/>
      <x:c r="U278" s="20" t="d">
        <x:v>2026-06-30T00:00:00.000Z</x:v>
      </x:c>
    </x:row>
    <x:row r="279" ht="85" customHeight="1">
      <x:c r="A279" s="21" t="d">
        <x:v>2026-06-30T00:00:00.000Z</x:v>
      </x:c>
      <x:c r="B279" s="19" t="str">
        <x:v>Planned rollout. Availability precision: Exact announcement day; future availability not established</x:v>
      </x:c>
      <x:c r="C279" s="19" t="str">
        <x:v>Copilot Notebooks</x:v>
      </x:c>
      <x:c r="D279" s="19" t="str">
        <x:v>Outlook email references</x:v>
      </x:c>
      <x:c r="E279" s="19" t="str">
        <x:v>Add email messages as notebook grounding sources.</x:v>
      </x:c>
      <x:c r="F279" s="23" t="str">
        <x:v>High</x:v>
      </x:c>
      <x:c r="G279" s="19" t="str">
        <x:v>Include stakeholder decisions captured by email in a project notebook.</x:v>
      </x:c>
      <x:c r="H279" s="19" t="str">
        <x:v>Connects correspondence to persistent project research.</x:v>
      </x:c>
      <x:c r="I279" s="19" t="str">
        <x:v>Planned rollout</x:v>
      </x:c>
      <x:c r="J279" s="19" t="str">
        <x:v>Not specified in dated announcement; verify tenant entitlement
Platform/region not specified
Planned rollout. Platform/region not specified. Not specified in dated announcement; verify tenant entitlement.</x:v>
      </x:c>
      <x:c r="K279" s="19" t="str">
        <x:v>2026-07</x:v>
      </x:c>
      <x:c r="L279"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79" s="25" t="str"/>
      <x:c r="N279" s="20" t="d">
        <x:v>2026-06-30T00:00:00.000Z</x:v>
      </x:c>
      <x:c r="O279" s="20" t="d">
        <x:v>2026-10-16T00:00:00.000Z</x:v>
      </x:c>
      <x:c r="P279" s="24" t="str">
        <x:v>COP-6A5BEFBF9C</x:v>
      </x:c>
      <x:c r="Q279" s="19" t="str">
        <x:v>Planned rollout</x:v>
      </x:c>
      <x:c r="R279" s="19" t="str">
        <x:v>Checked 2026-10-16. Availability is the historical state stated by this source, not proof of availability for every tenant today. Monthly recaps are editable and state dates are tentative. July month is not evidence it shipped by July 15.</x:v>
      </x:c>
      <x:c r="S279" s="19" t="str"/>
      <x:c r="T279" s="19" t="str"/>
      <x:c r="U279" s="20" t="d">
        <x:v>2026-06-30T00:00:00.000Z</x:v>
      </x:c>
    </x:row>
    <x:row r="280" ht="85" customHeight="1">
      <x:c r="A280" s="21" t="d">
        <x:v>2026-06-30T00:00:00.000Z</x:v>
      </x:c>
      <x:c r="B280" s="19" t="str">
        <x:v>Release-note report date. Reported rollout. Availability precision: Exact announcement day; availability month or window only</x:v>
      </x:c>
      <x:c r="C280" s="19" t="str">
        <x:v>Copilot Pages</x:v>
      </x:c>
      <x:c r="D280" s="19" t="str">
        <x:v>Inline suggested edits</x:v>
      </x:c>
      <x:c r="E280" s="19" t="str">
        <x:v>Request page feedback and apply suggested improvements.</x:v>
      </x:c>
      <x:c r="F280" s="23" t="str">
        <x:v>Medium</x:v>
      </x:c>
      <x:c r="G280" s="19" t="str">
        <x:v>Polish a project brief before distributing it.</x:v>
      </x:c>
      <x:c r="H280" s="19" t="str">
        <x:v>Adds a review step within the working page.</x:v>
      </x:c>
      <x:c r="I280" s="19" t="str">
        <x:v>Reported rollout</x:v>
      </x:c>
      <x:c r="J280" s="19" t="str">
        <x:v>Not specified in dated announcement; verify tenant entitlement
Platform/region not specified
Reported rollout. Platform/region not specified. Not specified in dated announcement; verify tenant entitlement.</x:v>
      </x:c>
      <x:c r="K280" s="19" t="str">
        <x:v>2026-06</x:v>
      </x:c>
      <x:c r="L280"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0" s="25"/>
      <x:c r="N280" s="20" t="d">
        <x:v>2026-06-30T00:00:00.000Z</x:v>
      </x:c>
      <x:c r="O280" s="20" t="d">
        <x:v>2026-10-16T00:00:00.000Z</x:v>
      </x:c>
      <x:c r="P280" s="24" t="str">
        <x:v>COP-905B582282</x:v>
      </x:c>
      <x:c r="Q280" s="19" t="str">
        <x:v>Reported rollout</x:v>
      </x:c>
      <x:c r="R280" s="19" t="str">
        <x:v>Checked 2026-10-16. Availability is the historical state stated by this source, not proof of availability for every tenant today. Monthly recaps are editable and state dates are tentative. </x:v>
      </x:c>
      <x:c r="S280" s="19" t="str"/>
      <x:c r="T280" s="19" t="str"/>
      <x:c r="U280" s="20" t="d">
        <x:v>2026-06-30T00:00:00.000Z</x:v>
      </x:c>
    </x:row>
    <x:row r="281" ht="85" customHeight="1">
      <x:c r="A281" s="21" t="d">
        <x:v>2026-06-30T00:00:00.000Z</x:v>
      </x:c>
      <x:c r="B281" s="19" t="str">
        <x:v>Release-note report date. Reported rollout. Availability precision: Exact announcement day; availability month or window only</x:v>
      </x:c>
      <x:c r="C281" s="19" t="str">
        <x:v>Excel</x:v>
      </x:c>
      <x:c r="D281" s="19" t="str">
        <x:v>Reusable analysis skills</x:v>
      </x:c>
      <x:c r="E281" s="19" t="str">
        <x:v>Package recurring Excel instructions as reusable skills.</x:v>
      </x:c>
      <x:c r="F281" s="23" t="str">
        <x:v>High</x:v>
      </x:c>
      <x:c r="G281" s="19" t="str">
        <x:v>Standardize a recurring monthly variance-analysis workflow.</x:v>
      </x:c>
      <x:c r="H281" s="19" t="str">
        <x:v>Saves repeated specification of complex analysis and reporting procedures.</x:v>
      </x:c>
      <x:c r="I281" s="19" t="str">
        <x:v>Reported rollout</x:v>
      </x:c>
      <x:c r="J281" s="19" t="str">
        <x:v>Not specified in dated announcement; verify tenant entitlement
Platform/region not specified
Reported rollout. Platform/region not specified. Not specified in dated announcement; verify tenant entitlement.</x:v>
      </x:c>
      <x:c r="K281" s="19" t="str">
        <x:v>2026-06</x:v>
      </x:c>
      <x:c r="L281"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1" s="25" t="str"/>
      <x:c r="N281" s="20" t="d">
        <x:v>2026-06-30T00:00:00.000Z</x:v>
      </x:c>
      <x:c r="O281" s="20" t="d">
        <x:v>2026-10-16T00:00:00.000Z</x:v>
      </x:c>
      <x:c r="P281" s="24" t="str">
        <x:v>COP-72D73834C6</x:v>
      </x:c>
      <x:c r="Q281" s="19" t="str">
        <x:v>Reported rollout</x:v>
      </x:c>
      <x:c r="R281" s="19" t="str">
        <x:v>Checked 2026-10-16. Availability is the historical state stated by this source, not proof of availability for every tenant today. Monthly recaps are editable and state dates are tentative. </x:v>
      </x:c>
      <x:c r="S281" s="19" t="str"/>
      <x:c r="T281" s="19" t="str"/>
      <x:c r="U281" s="20" t="d">
        <x:v>2026-06-30T00:00:00.000Z</x:v>
      </x:c>
    </x:row>
    <x:row r="282" ht="85" customHeight="1">
      <x:c r="A282" s="21" t="d">
        <x:v>2026-06-30T00:00:00.000Z</x:v>
      </x:c>
      <x:c r="B282" s="19" t="str">
        <x:v>Release-note report date. Reported rollout. Availability precision: Exact announcement day; availability month or window only</x:v>
      </x:c>
      <x:c r="C282" s="19" t="str">
        <x:v>Excel</x:v>
      </x:c>
      <x:c r="D282" s="19" t="str">
        <x:v>Standing personalization preferences</x:v>
      </x:c>
      <x:c r="E282" s="19" t="str">
        <x:v>Apply saved formatting and analysis preferences across workbooks.</x:v>
      </x:c>
      <x:c r="F282" s="23" t="str">
        <x:v>Medium</x:v>
      </x:c>
      <x:c r="G282" s="19" t="str">
        <x:v>Use consistent report formatting and formula conventions.</x:v>
      </x:c>
      <x:c r="H282" s="19" t="str">
        <x:v>Reduces repeated style and convention instructions.</x:v>
      </x:c>
      <x:c r="I282" s="19" t="str">
        <x:v>Reported rollout</x:v>
      </x:c>
      <x:c r="J282" s="19" t="str">
        <x:v>Not specified in dated announcement; verify tenant entitlement
Platform/region not specified
Reported rollout. Platform/region not specified. Not specified in dated announcement; verify tenant entitlement.</x:v>
      </x:c>
      <x:c r="K282" s="19" t="str">
        <x:v>2026-06</x:v>
      </x:c>
      <x:c r="L282"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2" s="25" t="str"/>
      <x:c r="N282" s="20" t="d">
        <x:v>2026-06-30T00:00:00.000Z</x:v>
      </x:c>
      <x:c r="O282" s="20" t="d">
        <x:v>2026-10-16T00:00:00.000Z</x:v>
      </x:c>
      <x:c r="P282" s="24" t="str">
        <x:v>COP-8A1C49B72A</x:v>
      </x:c>
      <x:c r="Q282" s="19" t="str">
        <x:v>Reported rollout</x:v>
      </x:c>
      <x:c r="R282" s="19" t="str">
        <x:v>Checked 2026-10-16. Availability is the historical state stated by this source, not proof of availability for every tenant today. Monthly recaps are editable and state dates are tentative. </x:v>
      </x:c>
      <x:c r="S282" s="19" t="str"/>
      <x:c r="T282" s="19" t="str"/>
      <x:c r="U282" s="20" t="d">
        <x:v>2026-06-30T00:00:00.000Z</x:v>
      </x:c>
    </x:row>
    <x:row r="283" ht="85" customHeight="1">
      <x:c r="A283" s="21" t="d">
        <x:v>2026-06-30T00:00:00.000Z</x:v>
      </x:c>
      <x:c r="B283" s="19" t="str">
        <x:v>Release-note report date. Reported rollout. Availability precision: Exact announcement day; availability month or window only</x:v>
      </x:c>
      <x:c r="C283" s="19" t="str">
        <x:v>Excel</x:v>
      </x:c>
      <x:c r="D283" s="19" t="str">
        <x:v>Workbook-specific rules sheets</x:v>
      </x:c>
      <x:c r="E283" s="19" t="str">
        <x:v>Store file-specific guidance in a .Rules worksheet.</x:v>
      </x:c>
      <x:c r="F283" s="23" t="str">
        <x:v>High</x:v>
      </x:c>
      <x:c r="G283" s="19" t="str">
        <x:v>Preserve team naming and formula conventions in a reporting template.</x:v>
      </x:c>
      <x:c r="H283" s="19" t="str">
        <x:v>Keeps shared modeling standards alongside the workbook itself.</x:v>
      </x:c>
      <x:c r="I283" s="19" t="str">
        <x:v>Reported rollout</x:v>
      </x:c>
      <x:c r="J283" s="19" t="str">
        <x:v>Not specified in dated announcement; verify tenant entitlement
Platform/region not specified
Reported rollout. Platform/region not specified. Not specified in dated announcement; verify tenant entitlement.</x:v>
      </x:c>
      <x:c r="K283" s="19" t="str">
        <x:v>2026-06</x:v>
      </x:c>
      <x:c r="L283"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3" s="25" t="str"/>
      <x:c r="N283" s="20" t="d">
        <x:v>2026-06-30T00:00:00.000Z</x:v>
      </x:c>
      <x:c r="O283" s="20" t="d">
        <x:v>2026-10-16T00:00:00.000Z</x:v>
      </x:c>
      <x:c r="P283" s="24" t="str">
        <x:v>COP-A01FE96590</x:v>
      </x:c>
      <x:c r="Q283" s="19" t="str">
        <x:v>Reported rollout</x:v>
      </x:c>
      <x:c r="R283" s="19" t="str">
        <x:v>Checked 2026-10-16. Availability is the historical state stated by this source, not proof of availability for every tenant today. Monthly recaps are editable and state dates are tentative. </x:v>
      </x:c>
      <x:c r="S283" s="19" t="str"/>
      <x:c r="T283" s="19" t="str"/>
      <x:c r="U283" s="20" t="d">
        <x:v>2026-06-30T00:00:00.000Z</x:v>
      </x:c>
    </x:row>
    <x:row r="284" ht="85" customHeight="1">
      <x:c r="A284" s="21" t="d">
        <x:v>2026-06-30T00:00:00.000Z</x:v>
      </x:c>
      <x:c r="B284" s="19" t="str">
        <x:v>Release-note report date. Reported rollout. Availability precision: Exact announcement day; availability month or window only</x:v>
      </x:c>
      <x:c r="C284" s="19" t="str">
        <x:v>Microsoft 365 admin center</x:v>
      </x:c>
      <x:c r="D284" s="19" t="str">
        <x:v>Hybrid-device organizational messages</x:v>
      </x:c>
      <x:c r="E284" s="19" t="str">
        <x:v>Extend organizational messaging to hybrid-joined devices.</x:v>
      </x:c>
      <x:c r="F284" s="23" t="str">
        <x:v>Medium</x:v>
      </x:c>
      <x:c r="G284" s="19" t="str">
        <x:v>Include hybrid-device staff in a Copilot adoption campaign.</x:v>
      </x:c>
      <x:c r="H284" s="19" t="str">
        <x:v>Reaches employees whose devices sit in hybrid enterprise deployments.</x:v>
      </x:c>
      <x:c r="I284" s="19" t="str">
        <x:v>Reported rollout</x:v>
      </x:c>
      <x:c r="J284" s="19" t="str">
        <x:v>Not specified in dated announcement; verify tenant entitlement
Platform/region not specified
Reported rollout. Platform/region not specified. Not specified in dated announcement; verify tenant entitlement.</x:v>
      </x:c>
      <x:c r="K284" s="19" t="str">
        <x:v>2026-06</x:v>
      </x:c>
      <x:c r="L284"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4" s="25" t="str"/>
      <x:c r="N284" s="20" t="d">
        <x:v>2026-06-30T00:00:00.000Z</x:v>
      </x:c>
      <x:c r="O284" s="20" t="d">
        <x:v>2026-10-16T00:00:00.000Z</x:v>
      </x:c>
      <x:c r="P284" s="24" t="str">
        <x:v>COP-6615A8BF56</x:v>
      </x:c>
      <x:c r="Q284" s="19" t="str">
        <x:v>Reported rollout</x:v>
      </x:c>
      <x:c r="R284" s="19" t="str">
        <x:v>Checked 2026-10-16. Availability is the historical state stated by this source, not proof of availability for every tenant today. Monthly recaps are editable and state dates are tentative. </x:v>
      </x:c>
      <x:c r="S284" s="19" t="str"/>
      <x:c r="T284" s="19" t="str"/>
      <x:c r="U284" s="20" t="d">
        <x:v>2026-06-30T00:00:00.000Z</x:v>
      </x:c>
    </x:row>
    <x:row r="285" ht="85" customHeight="1">
      <x:c r="A285" s="21" t="d">
        <x:v>2026-06-30T00:00:00.000Z</x:v>
      </x:c>
      <x:c r="B285" s="19" t="str">
        <x:v>Release-note report date. Reported rollout. Availability precision: Exact announcement day; availability month or window only</x:v>
      </x:c>
      <x:c r="C285" s="19" t="str">
        <x:v>Microsoft 365 admin center</x:v>
      </x:c>
      <x:c r="D285" s="19" t="str">
        <x:v>Vision administration control</x:v>
      </x:c>
      <x:c r="E285" s="19" t="str">
        <x:v>Provide an administrative control for visual screen/camera input.</x:v>
      </x:c>
      <x:c r="F285" s="23" t="str">
        <x:v>Medium</x:v>
      </x:c>
      <x:c r="G285" s="19" t="str">
        <x:v>Review whether screen-sharing assistance fits internal data policies.</x:v>
      </x:c>
      <x:c r="H285" s="19" t="str">
        <x:v>Allows deployment decisions around a new information-input surface. The productivity benefit is indirect and mainly affects administrators or purchasing decisions.</x:v>
      </x:c>
      <x:c r="I285" s="19" t="str">
        <x:v>Reported rollout</x:v>
      </x:c>
      <x:c r="J285" s="19" t="str">
        <x:v>Not specified in dated announcement; verify tenant entitlement
Platform/region not specified
Reported rollout. Platform/region not specified. Not specified in dated announcement; verify tenant entitlement.</x:v>
      </x:c>
      <x:c r="K285" s="19" t="str">
        <x:v>2026-06</x:v>
      </x:c>
      <x:c r="L285"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5" s="25" t="str"/>
      <x:c r="N285" s="20" t="d">
        <x:v>2026-06-30T00:00:00.000Z</x:v>
      </x:c>
      <x:c r="O285" s="20" t="d">
        <x:v>2026-10-16T00:00:00.000Z</x:v>
      </x:c>
      <x:c r="P285" s="24" t="str">
        <x:v>COP-E35A02C547</x:v>
      </x:c>
      <x:c r="Q285" s="19" t="str">
        <x:v>Reported rollout</x:v>
      </x:c>
      <x:c r="R285" s="19" t="str">
        <x:v>Checked 2026-10-16. Availability is the historical state stated by this source, not proof of availability for every tenant today. Monthly recaps are editable and state dates are tentative. </x:v>
      </x:c>
      <x:c r="S285" s="19" t="str"/>
      <x:c r="T285" s="19" t="str"/>
      <x:c r="U285" s="20" t="d">
        <x:v>2026-06-30T00:00:00.000Z</x:v>
      </x:c>
    </x:row>
    <x:row r="286" ht="85" customHeight="1">
      <x:c r="A286" s="21" t="d">
        <x:v>2026-06-30T00:00:00.000Z</x:v>
      </x:c>
      <x:c r="B286" s="19" t="str">
        <x:v>Release-note report date. Public preview. Availability precision: Exact announcement day; availability month or window only</x:v>
      </x:c>
      <x:c r="C286" s="19" t="str">
        <x:v>Microsoft Purview</x:v>
      </x:c>
      <x:c r="D286" s="19" t="str">
        <x:v>Exclude external email from Copilot grounding</x:v>
      </x:c>
      <x:c r="E286" s="19" t="str">
        <x:v>DLP policy can prevent external messages from informing supported Copilot outputs.</x:v>
      </x:c>
      <x:c r="F286" s="23" t="str">
        <x:v>Medium</x:v>
      </x:c>
      <x:c r="G286" s="19" t="str">
        <x:v>Keep external email out of selected internal-answer workflows.</x:v>
      </x:c>
      <x:c r="H286" s="19" t="str">
        <x:v>Addresses a meaningful trust boundary for third-party content. The productivity benefit is indirect and mainly affects administrators or purchasing decisions.</x:v>
      </x:c>
      <x:c r="I286" s="19" t="str">
        <x:v>Public preview</x:v>
      </x:c>
      <x:c r="J286" s="19" t="str">
        <x:v>Not specified in dated announcement; verify tenant entitlement
Platform/region not specified
Public preview. Platform/region not specified. Not specified in dated announcement; verify tenant entitlement.</x:v>
      </x:c>
      <x:c r="K286" s="19" t="str">
        <x:v>2026-06</x:v>
      </x:c>
      <x:c r="L286"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6" s="25"/>
      <x:c r="N286" s="20" t="d">
        <x:v>2026-06-30T00:00:00.000Z</x:v>
      </x:c>
      <x:c r="O286" s="20" t="d">
        <x:v>2026-10-16T00:00:00.000Z</x:v>
      </x:c>
      <x:c r="P286" s="24" t="str">
        <x:v>COP-93725BC759</x:v>
      </x:c>
      <x:c r="Q286" s="19" t="str">
        <x:v>Public preview</x:v>
      </x:c>
      <x:c r="R286" s="19" t="str">
        <x:v>Checked 2026-10-16. Availability is the historical state stated by this source, not proof of availability for every tenant today. Monthly recaps are editable and state dates are tentative. July GA is forecast only; applies to specified Microsoft 365 data scenarios and published Studio agents.</x:v>
      </x:c>
      <x:c r="S286" s="19" t="str"/>
      <x:c r="T286" s="19" t="str"/>
      <x:c r="U286" s="20" t="d">
        <x:v>2026-06-30T00:00:00.000Z</x:v>
      </x:c>
    </x:row>
    <x:row r="287" ht="85" customHeight="1">
      <x:c r="A287" s="21" t="d">
        <x:v>2026-06-30T00:00:00.000Z</x:v>
      </x:c>
      <x:c r="B287" s="19" t="str">
        <x:v>Planned rollout. Availability precision: Exact announcement day; future availability not established</x:v>
      </x:c>
      <x:c r="C287" s="19" t="str">
        <x:v>Outlook</x:v>
      </x:c>
      <x:c r="D287" s="19" t="str">
        <x:v>Copilot settings in classic Outlook</x:v>
      </x:c>
      <x:c r="E287" s="19" t="str">
        <x:v>Expose Copilot options directly in classic Outlook.</x:v>
      </x:c>
      <x:c r="F287" s="23" t="str">
        <x:v>Low</x:v>
      </x:c>
      <x:c r="G287" s="19" t="str">
        <x:v>Locate applicable Copilot settings without leaving the email client.</x:v>
      </x:c>
      <x:c r="H287" s="19" t="str">
        <x:v>Simplifies settings discovery in an existing client.</x:v>
      </x:c>
      <x:c r="I287" s="19" t="str">
        <x:v>Planned rollout</x:v>
      </x:c>
      <x:c r="J287" s="19" t="str">
        <x:v>Not specified in dated announcement; verify tenant entitlement
Classic Outlook for Windows
Planned rollout. Classic Outlook for Windows. Not specified in dated announcement; verify tenant entitlement.</x:v>
      </x:c>
      <x:c r="K287" s="19" t="str">
        <x:v>2026-07</x:v>
      </x:c>
      <x:c r="L287"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7" s="25" t="str"/>
      <x:c r="N287" s="20" t="d">
        <x:v>2026-06-30T00:00:00.000Z</x:v>
      </x:c>
      <x:c r="O287" s="20" t="d">
        <x:v>2026-10-16T00:00:00.000Z</x:v>
      </x:c>
      <x:c r="P287" s="24" t="str">
        <x:v>COP-F6DC967817</x:v>
      </x:c>
      <x:c r="Q287" s="19" t="str">
        <x:v>Planned rollout</x:v>
      </x:c>
      <x:c r="R287" s="19" t="str">
        <x:v>Checked 2026-10-16. Availability is the historical state stated by this source, not proof of availability for every tenant today. Monthly recaps are editable and state dates are tentative. July month is not evidence it shipped by July 15.</x:v>
      </x:c>
      <x:c r="S287" s="19" t="str"/>
      <x:c r="T287" s="19" t="str"/>
      <x:c r="U287" s="20" t="d">
        <x:v>2026-06-30T00:00:00.000Z</x:v>
      </x:c>
    </x:row>
    <x:row r="288" ht="85" customHeight="1">
      <x:c r="A288" s="21" t="d">
        <x:v>2026-06-30T00:00:00.000Z</x:v>
      </x:c>
      <x:c r="B288" s="19" t="str">
        <x:v>Release-note report date. Reported rollout. Availability precision: Exact announcement day; availability month or window only</x:v>
      </x:c>
      <x:c r="C288" s="19" t="str">
        <x:v>Outlook</x:v>
      </x:c>
      <x:c r="D288" s="19" t="str">
        <x:v>Targeted compose-canvas revisions</x:v>
      </x:c>
      <x:c r="E288" s="19" t="str">
        <x:v>Revise selected email text for tone, length or structure in place.</x:v>
      </x:c>
      <x:c r="F288" s="23" t="str">
        <x:v>High</x:v>
      </x:c>
      <x:c r="G288" s="19" t="str">
        <x:v>Shorten one paragraph of a client response without recreating the email.</x:v>
      </x:c>
      <x:c r="H288" s="19" t="str">
        <x:v>Allows focused changes while preserving the rest of a draft.</x:v>
      </x:c>
      <x:c r="I288" s="19" t="str">
        <x:v>Reported rollout</x:v>
      </x:c>
      <x:c r="J288" s="19" t="str">
        <x:v>Not specified in dated announcement; verify tenant entitlement
Web
Reported rollout. Web. Not specified in dated announcement; verify tenant entitlement.</x:v>
      </x:c>
      <x:c r="K288" s="19" t="str">
        <x:v>2026-06</x:v>
      </x:c>
      <x:c r="L288"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8" s="25" t="str"/>
      <x:c r="N288" s="20" t="d">
        <x:v>2026-06-30T00:00:00.000Z</x:v>
      </x:c>
      <x:c r="O288" s="20" t="d">
        <x:v>2026-10-16T00:00:00.000Z</x:v>
      </x:c>
      <x:c r="P288" s="24" t="str">
        <x:v>COP-7C19511204</x:v>
      </x:c>
      <x:c r="Q288" s="19" t="str">
        <x:v>Reported rollout</x:v>
      </x:c>
      <x:c r="R288" s="19" t="str">
        <x:v>Checked 2026-10-16. Availability is the historical state stated by this source, not proof of availability for every tenant today. Monthly recaps are editable and state dates are tentative. </x:v>
      </x:c>
      <x:c r="S288" s="19" t="str"/>
      <x:c r="T288" s="19" t="str"/>
      <x:c r="U288" s="20" t="d">
        <x:v>2026-06-30T00:00:00.000Z</x:v>
      </x:c>
    </x:row>
    <x:row r="289" ht="85" customHeight="1">
      <x:c r="A289" s="21" t="d">
        <x:v>2026-06-30T00:00:00.000Z</x:v>
      </x:c>
      <x:c r="B289" s="19" t="str">
        <x:v>Release-note report date. Reported rollout. Availability precision: Exact announcement day; availability month or window only</x:v>
      </x:c>
      <x:c r="C289" s="19" t="str">
        <x:v>Planner Agent</x:v>
      </x:c>
      <x:c r="D289" s="19" t="str">
        <x:v>Task and plan management in Copilot</x:v>
      </x:c>
      <x:c r="E289" s="19" t="str">
        <x:v>Use natural language to inspect, create and update Planner work.</x:v>
      </x:c>
      <x:c r="F289" s="23" t="str">
        <x:v>High</x:v>
      </x:c>
      <x:c r="G289" s="19" t="str">
        <x:v>Convert a project objective into a structured plan and tasks.</x:v>
      </x:c>
      <x:c r="H289" s="19" t="str">
        <x:v>Moves planning assistance into actionable task management.</x:v>
      </x:c>
      <x:c r="I289" s="19" t="str">
        <x:v>Reported rollout</x:v>
      </x:c>
      <x:c r="J289" s="19" t="str">
        <x:v>Not specified in dated announcement; verify tenant entitlement
Platform/region not specified
Reported rollout. Platform/region not specified. Not specified in dated announcement; verify tenant entitlement.</x:v>
      </x:c>
      <x:c r="K289" s="19" t="str">
        <x:v>2026-06</x:v>
      </x:c>
      <x:c r="L289"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89" s="25" t="str"/>
      <x:c r="N289" s="20" t="d">
        <x:v>2026-06-30T00:00:00.000Z</x:v>
      </x:c>
      <x:c r="O289" s="20" t="d">
        <x:v>2026-10-16T00:00:00.000Z</x:v>
      </x:c>
      <x:c r="P289" s="24" t="str">
        <x:v>COP-50CA463826</x:v>
      </x:c>
      <x:c r="Q289" s="19" t="str">
        <x:v>Reported rollout</x:v>
      </x:c>
      <x:c r="R289" s="19" t="str">
        <x:v>Checked 2026-10-16. Availability is the historical state stated by this source, not proof of availability for every tenant today. Monthly recaps are editable and state dates are tentative. </x:v>
      </x:c>
      <x:c r="S289" s="19" t="str"/>
      <x:c r="T289" s="19" t="str"/>
      <x:c r="U289" s="20" t="d">
        <x:v>2026-06-30T00:00:00.000Z</x:v>
      </x:c>
    </x:row>
    <x:row r="290" ht="85" customHeight="1">
      <x:c r="A290" s="21" t="d">
        <x:v>2026-06-30T00:00:00.000Z</x:v>
      </x:c>
      <x:c r="B290" s="19" t="str">
        <x:v>Release-note report date. Reported rollout. Availability precision: Exact announcement day; availability month or window only</x:v>
      </x:c>
      <x:c r="C290" s="19" t="str">
        <x:v>PowerPoint</x:v>
      </x:c>
      <x:c r="D290" s="19" t="str">
        <x:v>Brand-kit picker</x:v>
      </x:c>
      <x:c r="E290" s="19" t="str">
        <x:v>Select an organization-approved visual kit during deck creation.</x:v>
      </x:c>
      <x:c r="F290" s="23" t="str">
        <x:v>Medium</x:v>
      </x:c>
      <x:c r="G290" s="19" t="str">
        <x:v>Start a client presentation using the approved corporate kit.</x:v>
      </x:c>
      <x:c r="H290" s="19" t="str">
        <x:v>Reduces manual brand cleanup of generated decks.</x:v>
      </x:c>
      <x:c r="I290" s="19" t="str">
        <x:v>Reported rollout</x:v>
      </x:c>
      <x:c r="J290" s="19" t="str">
        <x:v>Not specified in dated announcement; verify tenant entitlement
Platform/region not specified
Reported rollout. Platform/region not specified. Not specified in dated announcement; verify tenant entitlement.</x:v>
      </x:c>
      <x:c r="K290" s="19" t="str">
        <x:v>2026-06</x:v>
      </x:c>
      <x:c r="L290"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0" s="25" t="str"/>
      <x:c r="N290" s="20" t="d">
        <x:v>2026-06-30T00:00:00.000Z</x:v>
      </x:c>
      <x:c r="O290" s="20" t="d">
        <x:v>2026-10-16T00:00:00.000Z</x:v>
      </x:c>
      <x:c r="P290" s="24" t="str">
        <x:v>COP-3E1FFA64AB</x:v>
      </x:c>
      <x:c r="Q290" s="19" t="str">
        <x:v>Reported rollout</x:v>
      </x:c>
      <x:c r="R290" s="19" t="str">
        <x:v>Checked 2026-10-16. Availability is the historical state stated by this source, not proof of availability for every tenant today. Monthly recaps are editable and state dates are tentative. </x:v>
      </x:c>
      <x:c r="S290" s="19" t="str"/>
      <x:c r="T290" s="19"/>
      <x:c r="U290" s="20" t="d">
        <x:v>2026-06-30T00:00:00.000Z</x:v>
      </x:c>
    </x:row>
    <x:row r="291" ht="85" customHeight="1">
      <x:c r="A291" s="21" t="d">
        <x:v>2026-06-30T00:00:00.000Z</x:v>
      </x:c>
      <x:c r="B291" s="19" t="str">
        <x:v>Release-note report date. Reported rollout. Availability precision: Exact announcement day; availability month or window only</x:v>
      </x:c>
      <x:c r="C291" s="19" t="str">
        <x:v>PowerPoint</x:v>
      </x:c>
      <x:c r="D291" s="19" t="str">
        <x:v>Library and folder source references</x:v>
      </x:c>
      <x:c r="E291" s="19" t="str">
        <x:v>Ground deck creation in SharePoint libraries and OneDrive folders.</x:v>
      </x:c>
      <x:c r="F291" s="23" t="str">
        <x:v>High</x:v>
      </x:c>
      <x:c r="G291" s="19" t="str">
        <x:v>Build a project presentation from the team’s stored materials.</x:v>
      </x:c>
      <x:c r="H291" s="19" t="str">
        <x:v>Reduces manual attachment and gathering of organizational source material.</x:v>
      </x:c>
      <x:c r="I291" s="19" t="str">
        <x:v>Reported rollout</x:v>
      </x:c>
      <x:c r="J291" s="19" t="str">
        <x:v>Not specified in dated announcement; verify tenant entitlement
Platform/region not specified
Reported rollout. Platform/region not specified. Not specified in dated announcement; verify tenant entitlement.</x:v>
      </x:c>
      <x:c r="K291" s="19" t="str">
        <x:v>2026-06</x:v>
      </x:c>
      <x:c r="L291"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1" s="25" t="str"/>
      <x:c r="N291" s="20" t="d">
        <x:v>2026-06-30T00:00:00.000Z</x:v>
      </x:c>
      <x:c r="O291" s="20" t="d">
        <x:v>2026-10-16T00:00:00.000Z</x:v>
      </x:c>
      <x:c r="P291" s="24" t="str">
        <x:v>COP-B6B2C2C721</x:v>
      </x:c>
      <x:c r="Q291" s="19" t="str">
        <x:v>Reported rollout</x:v>
      </x:c>
      <x:c r="R291" s="19" t="str">
        <x:v>Checked 2026-10-16. Availability is the historical state stated by this source, not proof of availability for every tenant today. Monthly recaps are editable and state dates are tentative. Later platform-specific release notes may reflect phased expansion.</x:v>
      </x:c>
      <x:c r="S291" s="19" t="str"/>
      <x:c r="T291" s="19"/>
      <x:c r="U291" s="20" t="d">
        <x:v>2026-06-30T00:00:00.000Z</x:v>
      </x:c>
    </x:row>
    <x:row r="292" ht="100" customHeight="1">
      <x:c r="A292" s="21" t="d">
        <x:v>2026-06-30T00:00:00.000Z</x:v>
      </x:c>
      <x:c r="B292" s="19" t="str">
        <x:v>Release-note report date. Reported July rollout. Availability precision: Exact announcement day; availability month or window only</x:v>
      </x:c>
      <x:c r="C292" s="19" t="str">
        <x:v>PowerPoint</x:v>
      </x:c>
      <x:c r="D292" s="19" t="str">
        <x:v>Reusable custom presentation skills</x:v>
      </x:c>
      <x:c r="E292" s="19" t="str">
        <x:v>Save instructions for recurring presentation work.</x:v>
      </x:c>
      <x:c r="F292" s="23" t="str">
        <x:v>High</x:v>
      </x:c>
      <x:c r="G292" s="19" t="str">
        <x:v>Reuse the same briefing-creation workflow each month.</x:v>
      </x:c>
      <x:c r="H292" s="19" t="str">
        <x:v>Standardizes repeated authoring and review steps.</x:v>
      </x:c>
      <x:c r="I292" s="19" t="str">
        <x:v>Reported July rollout</x:v>
      </x:c>
      <x:c r="J292" s="19" t="str">
        <x:v>Not specified in dated announcement; verify tenant entitlement
Platform not specified
Reported July rollout. Platform not specified. Not specified in dated announcement; verify tenant entitlement.</x:v>
      </x:c>
      <x:c r="K292" s="19" t="str">
        <x:v>2026-07</x:v>
      </x:c>
      <x:c r="L292"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2" s="25" t="str"/>
      <x:c r="N292" s="20" t="d">
        <x:v>2026-06-30T00:00:00.000Z</x:v>
      </x:c>
      <x:c r="O292" s="20" t="d">
        <x:v>2026-10-16T00:00:00.000Z</x:v>
      </x:c>
      <x:c r="P292" s="24" t="str">
        <x:v>COP-2B185C8F69</x:v>
      </x:c>
      <x:c r="Q292" s="19" t="str">
        <x:v>Reported July rollout</x:v>
      </x:c>
      <x:c r="R292" s="19" t="str">
        <x:v>Checked 2026-10-16. Availability is the historical state stated by this source, not proof of availability for every tenant today. Monthly recaps are editable and state dates are tentative. June article updated July 14; later October 6 release notes list Windows rollout. Do not assume universal July availability.</x:v>
      </x:c>
      <x:c r="S292" s="19" t="str"/>
      <x:c r="T292" s="19" t="str"/>
      <x:c r="U292" s="20" t="d">
        <x:v>2026-06-30T00:00:00.000Z</x:v>
      </x:c>
    </x:row>
    <x:row r="293" ht="100" customHeight="1">
      <x:c r="A293" s="21" t="d">
        <x:v>2026-06-30T00:00:00.000Z</x:v>
      </x:c>
      <x:c r="B293" s="19" t="str">
        <x:v>Release-note report date. Reported rollout. Availability precision: Exact announcement day; availability month or window only</x:v>
      </x:c>
      <x:c r="C293" s="19" t="str">
        <x:v>Researcher</x:v>
      </x:c>
      <x:c r="D293" s="19" t="str">
        <x:v>Choose model and mode inside chat</x:v>
      </x:c>
      <x:c r="E293" s="19" t="str">
        <x:v>Select supported Researcher options when using the agent in a conversation.</x:v>
      </x:c>
      <x:c r="F293" s="23" t="str">
        <x:v>Medium</x:v>
      </x:c>
      <x:c r="G293" s="19" t="str">
        <x:v>Choose an appropriate mode for a complex comparative briefing.</x:v>
      </x:c>
      <x:c r="H293" s="19" t="str">
        <x:v>Matches research depth and model behavior to the task.</x:v>
      </x:c>
      <x:c r="I293" s="19" t="str">
        <x:v>Reported rollout</x:v>
      </x:c>
      <x:c r="J293" s="19" t="str">
        <x:v>Not specified in dated announcement; verify tenant entitlement
Platform/region not specified
Reported rollout. Platform/region not specified. Not specified in dated announcement; verify tenant entitlement.</x:v>
      </x:c>
      <x:c r="K293" s="19" t="str">
        <x:v>2026-06</x:v>
      </x:c>
      <x:c r="L293"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3" s="25" t="str">
        <x:f>IFERROR(HYPERLINK("https://learn.microsoft.com/en-us/microsoft-365/copilot/release-notes#august-25-2026","Microsoft release notes, 2026-08-25"),"Microsoft release notes, 2026-08-25")</x:f>
        <x:v>Microsoft release notes, 2026-08-25</x:v>
      </x:c>
      <x:c r="N293" s="20" t="d">
        <x:v>2026-06-30T00:00:00.000Z</x:v>
      </x:c>
      <x:c r="O293" s="20" t="d">
        <x:v>2026-10-16T00:00:00.000Z</x:v>
      </x:c>
      <x:c r="P293" s="24" t="str">
        <x:v>COP-2BCC3154DA</x:v>
      </x:c>
      <x:c r="Q293" s="19" t="str">
        <x:v>Reported rollout</x:v>
      </x:c>
      <x:c r="R293" s="19" t="str">
        <x:v>Checked 2026-10-16. Availability is the historical state stated by this source, not proof of availability for every tenant today. Monthly recaps are editable and state dates are tentative.  Later corroboration: 2026-08-25 release-note batch, covering 2026-08-11 to 2026-08-25. This later mention is not counted as another first launch.</x:v>
      </x:c>
      <x:c r="S293" s="19" t="str"/>
      <x:c r="T293" s="19" t="str"/>
      <x:c r="U293" s="20" t="d">
        <x:v>2026-06-30T00:00:00.000Z</x:v>
      </x:c>
    </x:row>
    <x:row r="294" ht="85" customHeight="1">
      <x:c r="A294" s="21" t="d">
        <x:v>2026-06-30T00:00:00.000Z</x:v>
      </x:c>
      <x:c r="B294" s="19" t="str">
        <x:v>Release-note report date. Reported rollout. Availability precision: Exact announcement day; availability month or window only</x:v>
      </x:c>
      <x:c r="C294" s="19" t="str">
        <x:v>Word</x:v>
      </x:c>
      <x:c r="D294" s="19" t="str">
        <x:v>Agentic editing on iOS</x:v>
      </x:c>
      <x:c r="E294" s="19" t="str">
        <x:v>Bring direct content-editing assistance to iPhone and iPad.</x:v>
      </x:c>
      <x:c r="F294" s="23" t="str">
        <x:v>High</x:v>
      </x:c>
      <x:c r="G294" s="19" t="str">
        <x:v>Revise a document section while travelling.</x:v>
      </x:c>
      <x:c r="H294" s="19" t="str">
        <x:v>Extends substantive document work to mobile devices.</x:v>
      </x:c>
      <x:c r="I294" s="19" t="str">
        <x:v>Reported rollout</x:v>
      </x:c>
      <x:c r="J294" s="19" t="str">
        <x:v>Not specified in dated announcement; verify tenant entitlement
iOS
Reported rollout. iOS. Not specified in dated announcement; verify tenant entitlement.</x:v>
      </x:c>
      <x:c r="K294" s="19" t="str">
        <x:v>2026-06</x:v>
      </x:c>
      <x:c r="L294"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4" s="25"/>
      <x:c r="N294" s="20" t="d">
        <x:v>2026-06-30T00:00:00.000Z</x:v>
      </x:c>
      <x:c r="O294" s="20" t="d">
        <x:v>2026-10-16T00:00:00.000Z</x:v>
      </x:c>
      <x:c r="P294" s="24" t="str">
        <x:v>COP-E1F859A957</x:v>
      </x:c>
      <x:c r="Q294" s="19" t="str">
        <x:v>Reported rollout</x:v>
      </x:c>
      <x:c r="R294" s="19" t="str">
        <x:v>Checked 2026-10-16. Availability is the historical state stated by this source, not proof of availability for every tenant today. Monthly recaps are editable and state dates are tentative. </x:v>
      </x:c>
      <x:c r="S294" s="19" t="str"/>
      <x:c r="T294" s="19" t="str"/>
      <x:c r="U294" s="20" t="d">
        <x:v>2026-06-30T00:00:00.000Z</x:v>
      </x:c>
    </x:row>
    <x:row r="295" ht="85" customHeight="1">
      <x:c r="A295" s="21" t="d">
        <x:v>2026-06-30T00:00:00.000Z</x:v>
      </x:c>
      <x:c r="B295" s="19" t="str">
        <x:v>Release-note report date. Reported rollout. Availability precision: Exact announcement day; availability month or window only</x:v>
      </x:c>
      <x:c r="C295" s="19" t="str">
        <x:v>Word</x:v>
      </x:c>
      <x:c r="D295" s="19" t="str">
        <x:v>Apply feedback from document comments</x:v>
      </x:c>
      <x:c r="E295" s="19" t="str">
        <x:v>Use comment content to guide edits.</x:v>
      </x:c>
      <x:c r="F295" s="23" t="str">
        <x:v>High</x:v>
      </x:c>
      <x:c r="G295" s="19" t="str">
        <x:v>Ask Copilot to implement approved reviewer suggestions.</x:v>
      </x:c>
      <x:c r="H295" s="19" t="str">
        <x:v>Can substantially shorten collaborative revision work.</x:v>
      </x:c>
      <x:c r="I295" s="19" t="str">
        <x:v>Reported rollout</x:v>
      </x:c>
      <x:c r="J295" s="19" t="str">
        <x:v>Not specified in dated announcement; verify tenant entitlement
Platform/region not specified
Reported rollout. Platform/region not specified. Not specified in dated announcement; verify tenant entitlement.</x:v>
      </x:c>
      <x:c r="K295" s="19" t="str">
        <x:v>2026-06</x:v>
      </x:c>
      <x:c r="L295"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5" s="25"/>
      <x:c r="N295" s="20" t="d">
        <x:v>2026-06-30T00:00:00.000Z</x:v>
      </x:c>
      <x:c r="O295" s="20" t="d">
        <x:v>2026-10-16T00:00:00.000Z</x:v>
      </x:c>
      <x:c r="P295" s="24" t="str">
        <x:v>COP-FC755A804E</x:v>
      </x:c>
      <x:c r="Q295" s="19" t="str">
        <x:v>Reported rollout</x:v>
      </x:c>
      <x:c r="R295" s="19" t="str">
        <x:v>Checked 2026-10-16. Availability is the historical state stated by this source, not proof of availability for every tenant today. Monthly recaps are editable and state dates are tentative. </x:v>
      </x:c>
      <x:c r="S295" s="19" t="str"/>
      <x:c r="T295" s="19" t="str"/>
      <x:c r="U295" s="20" t="d">
        <x:v>2026-06-30T00:00:00.000Z</x:v>
      </x:c>
    </x:row>
    <x:row r="296" ht="85" customHeight="1">
      <x:c r="A296" s="21" t="d">
        <x:v>2026-06-30T00:00:00.000Z</x:v>
      </x:c>
      <x:c r="B296" s="19" t="str">
        <x:v>Release-note report date. Reported rollout. Availability precision: Exact announcement day; availability month or window only</x:v>
      </x:c>
      <x:c r="C296" s="19" t="str">
        <x:v>Word</x:v>
      </x:c>
      <x:c r="D296" s="19" t="str">
        <x:v>Catchup content card</x:v>
      </x:c>
      <x:c r="E296" s="19" t="str">
        <x:v>Show a recap of document changes since the user last opened it.</x:v>
      </x:c>
      <x:c r="F296" s="23" t="str">
        <x:v>Medium</x:v>
      </x:c>
      <x:c r="G296" s="19" t="str">
        <x:v>See what changed before approving the latest document draft.</x:v>
      </x:c>
      <x:c r="H296" s="19" t="str">
        <x:v>Reduces rereading during collaborative revision cycles.</x:v>
      </x:c>
      <x:c r="I296" s="19" t="str">
        <x:v>Reported rollout</x:v>
      </x:c>
      <x:c r="J296" s="19" t="str">
        <x:v>Not specified in dated announcement; verify tenant entitlement
Platform/region not specified
Reported rollout. Platform/region not specified. Not specified in dated announcement; verify tenant entitlement.</x:v>
      </x:c>
      <x:c r="K296" s="19" t="str">
        <x:v>2026-06</x:v>
      </x:c>
      <x:c r="L296"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6" s="25"/>
      <x:c r="N296" s="20" t="d">
        <x:v>2026-06-30T00:00:00.000Z</x:v>
      </x:c>
      <x:c r="O296" s="20" t="d">
        <x:v>2026-10-16T00:00:00.000Z</x:v>
      </x:c>
      <x:c r="P296" s="24" t="str">
        <x:v>COP-C5D1CA92B4</x:v>
      </x:c>
      <x:c r="Q296" s="19" t="str">
        <x:v>Reported rollout</x:v>
      </x:c>
      <x:c r="R296" s="19" t="str">
        <x:v>Checked 2026-10-16. Availability is the historical state stated by this source, not proof of availability for every tenant today. Monthly recaps are editable and state dates are tentative. </x:v>
      </x:c>
      <x:c r="S296" s="19" t="str"/>
      <x:c r="T296" s="19" t="str"/>
      <x:c r="U296" s="20" t="d">
        <x:v>2026-06-30T00:00:00.000Z</x:v>
      </x:c>
    </x:row>
    <x:row r="297" ht="85" customHeight="1">
      <x:c r="A297" s="21" t="d">
        <x:v>2026-06-30T00:00:00.000Z</x:v>
      </x:c>
      <x:c r="B297" s="19" t="str">
        <x:v>Release-note report date. Reported rollout. Availability precision: Exact announcement day; availability month or window only</x:v>
      </x:c>
      <x:c r="C297" s="19" t="str">
        <x:v>Word</x:v>
      </x:c>
      <x:c r="D297" s="19" t="str">
        <x:v>Generate and insert inline images</x:v>
      </x:c>
      <x:c r="E297" s="19" t="str">
        <x:v>Create and place an image as part of document editing.</x:v>
      </x:c>
      <x:c r="F297" s="23" t="str">
        <x:v>Medium</x:v>
      </x:c>
      <x:c r="G297" s="19" t="str">
        <x:v>Add a first-draft conceptual illustration to a training handout.</x:v>
      </x:c>
      <x:c r="H297" s="19" t="str">
        <x:v>Keeps draft illustration work inside document creation.</x:v>
      </x:c>
      <x:c r="I297" s="19" t="str">
        <x:v>Reported rollout</x:v>
      </x:c>
      <x:c r="J297" s="19" t="str">
        <x:v>Not specified in dated announcement; verify tenant entitlement
Platform/region not specified
Reported rollout. Platform/region not specified. Not specified in dated announcement; verify tenant entitlement.</x:v>
      </x:c>
      <x:c r="K297" s="19" t="str">
        <x:v>2026-06</x:v>
      </x:c>
      <x:c r="L297"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7" s="25" t="str"/>
      <x:c r="N297" s="20" t="d">
        <x:v>2026-06-30T00:00:00.000Z</x:v>
      </x:c>
      <x:c r="O297" s="20" t="d">
        <x:v>2026-10-16T00:00:00.000Z</x:v>
      </x:c>
      <x:c r="P297" s="24" t="str">
        <x:v>COP-B1462FDA3E</x:v>
      </x:c>
      <x:c r="Q297" s="19" t="str">
        <x:v>Reported rollout</x:v>
      </x:c>
      <x:c r="R297" s="19" t="str">
        <x:v>Checked 2026-10-16. Availability is the historical state stated by this source, not proof of availability for every tenant today. Monthly recaps are editable and state dates are tentative. </x:v>
      </x:c>
      <x:c r="S297" s="19" t="str"/>
      <x:c r="T297" s="19" t="str"/>
      <x:c r="U297" s="20" t="d">
        <x:v>2026-06-30T00:00:00.000Z</x:v>
      </x:c>
    </x:row>
    <x:row r="298" ht="85" customHeight="1">
      <x:c r="A298" s="21" t="d">
        <x:v>2026-06-30T00:00:00.000Z</x:v>
      </x:c>
      <x:c r="B298" s="19" t="str">
        <x:v>Release-note report date. Reported rollout. Availability precision: Exact announcement day; availability month or window only</x:v>
      </x:c>
      <x:c r="C298" s="19" t="str">
        <x:v>Word</x:v>
      </x:c>
      <x:c r="D298" s="19" t="str">
        <x:v>Preserve chat-to-app conversation history</x:v>
      </x:c>
      <x:c r="E298" s="19" t="str">
        <x:v>Continue a Copilot conversation when working in Word.</x:v>
      </x:c>
      <x:c r="F298" s="23" t="str">
        <x:v>Medium</x:v>
      </x:c>
      <x:c r="G298" s="19" t="str">
        <x:v>Continue from research chat into document editing.</x:v>
      </x:c>
      <x:c r="H298" s="19" t="str">
        <x:v>Avoids restating context during multi-step document work.</x:v>
      </x:c>
      <x:c r="I298" s="19" t="str">
        <x:v>Reported rollout</x:v>
      </x:c>
      <x:c r="J298" s="19" t="str">
        <x:v>Not specified in dated announcement; verify tenant entitlement
Platform/region not specified
Reported rollout. Platform/region not specified. Not specified in dated announcement; verify tenant entitlement.</x:v>
      </x:c>
      <x:c r="K298" s="19" t="str">
        <x:v>2026-06</x:v>
      </x:c>
      <x:c r="L298" s="25" t="str">
        <x:f>IFERROR(HYPERLINK("https://techcommunity.microsoft.com/blog/microsoft-copilot-blog/what%E2%80%99s-new-in-microsoft-365-copilot--june-2026/4529572","What’s New in Microsoft 365 Copilot | June 2026"),"What’s New in Microsoft 365 Copilot | June 2026")</x:f>
        <x:v>What’s New in Microsoft 365 Copilot | June 2026</x:v>
      </x:c>
      <x:c r="M298" s="25"/>
      <x:c r="N298" s="20" t="d">
        <x:v>2026-06-30T00:00:00.000Z</x:v>
      </x:c>
      <x:c r="O298" s="20" t="d">
        <x:v>2026-10-16T00:00:00.000Z</x:v>
      </x:c>
      <x:c r="P298" s="24" t="str">
        <x:v>COP-C4FA32E1AF</x:v>
      </x:c>
      <x:c r="Q298" s="19" t="str">
        <x:v>Reported rollout</x:v>
      </x:c>
      <x:c r="R298" s="19" t="str">
        <x:v>Checked 2026-10-16. Availability is the historical state stated by this source, not proof of availability for every tenant today. Monthly recaps are editable and state dates are tentative. </x:v>
      </x:c>
      <x:c r="S298" s="19" t="str"/>
      <x:c r="T298" s="19"/>
      <x:c r="U298" s="20" t="d">
        <x:v>2026-06-30T00:00:00.000Z</x:v>
      </x:c>
    </x:row>
    <x:row r="299" ht="85" customHeight="1">
      <x:c r="A299" s="21" t="d">
        <x:v>2026-06-16T00:00:00.000Z</x:v>
      </x:c>
      <x:c r="B299" s="19" t="str">
        <x:v>GA. Availability precision: Exact announcement day; exact stated availability day</x:v>
      </x:c>
      <x:c r="C299" s="19" t="str">
        <x:v>Copilot Cowork</x:v>
      </x:c>
      <x:c r="D299" s="19" t="str">
        <x:v>Copilot Cowork generally available</x:v>
      </x:c>
      <x:c r="E299" s="19" t="str">
        <x:v>Delegate long-running tasks that execute across tools and return work products.</x:v>
      </x:c>
      <x:c r="F299" s="23" t="str">
        <x:v>High</x:v>
      </x:c>
      <x:c r="G299" s="19" t="str">
        <x:v>Prepare a research brief and supporting deliverables from approved business sources.</x:v>
      </x:c>
      <x:c r="H299" s="19" t="str">
        <x:v>Introduces a major delegated-work capability across enterprise context and tools.</x:v>
      </x:c>
      <x:c r="I299" s="19" t="str">
        <x:v>GA</x:v>
      </x:c>
      <x:c r="J299" s="19" t="str">
        <x:v>Microsoft 365 Copilot USL plus usage-based Copilot Credits
Worldwide; administrators enable access; off by default at GA
GA. Worldwide; administrators enable access; off by default at GA. Microsoft 365 Copilot USL plus usage-based Copilot Credits.</x:v>
      </x:c>
      <x:c r="K299" s="19" t="str">
        <x:v>2026-06-16</x:v>
      </x:c>
      <x:c r="L299" s="25" t="str">
        <x:f>IFERROR(HYPERLINK("https://www.microsoft.com/en-us/copilot/blog/2026/06/16/copilot-cowork-is-now-generally-available/","Copilot Cowork is now generally available"),"Copilot Cowork is now generally available")</x:f>
        <x:v>Copilot Cowork is now generally available</x:v>
      </x:c>
      <x:c r="M299" s="25" t="str">
        <x:f>IFERROR(HYPERLINK("https://learn.microsoft.com/en-us/microsoft-365/copilot/release-notes#september-23-2026","Microsoft release notes, 2026-09-23"),"Microsoft release notes, 2026-09-23")</x:f>
        <x:v>Microsoft release notes, 2026-09-23</x:v>
      </x:c>
      <x:c r="N299" s="20" t="d">
        <x:v>2026-06-16T00:00:00.000Z</x:v>
      </x:c>
      <x:c r="O299" s="20" t="d">
        <x:v>2026-10-16T00:00:00.000Z</x:v>
      </x:c>
      <x:c r="P299" s="24" t="str">
        <x:v>COP-935968FF8F</x:v>
      </x:c>
      <x:c r="Q299" s="19" t="str">
        <x:v>GA</x:v>
      </x:c>
      <x:c r="R299" s="19" t="str">
        <x:v>Checked 2026-10-16. Availability is the historical state stated by this source, not proof of availability for every tenant today.  Later corroboration: 2026-09-23 release-note batch, covering 2026-08-26 to 2026-09-22. This later mention is not counted as another first launch.</x:v>
      </x:c>
      <x:c r="S299" s="19" t="str"/>
      <x:c r="T299" s="19"/>
      <x:c r="U299" s="20" t="d">
        <x:v>2026-06-16T00:00:00.000Z</x:v>
      </x:c>
    </x:row>
    <x:row r="300" ht="70" customHeight="1">
      <x:c r="A300" s="21" t="d">
        <x:v>2026-06-16T00:00:00.000Z</x:v>
      </x:c>
      <x:c r="B300" s="19" t="str">
        <x:v>GA. Availability precision: Exact announcement day; exact stated availability day</x:v>
      </x:c>
      <x:c r="C300" s="19" t="str">
        <x:v>Copilot Cowork / admin center</x:v>
      </x:c>
      <x:c r="D300" s="19" t="str">
        <x:v>Cowork spend controls and visibility</x:v>
      </x:c>
      <x:c r="E300" s="19" t="str">
        <x:v>Provide scoped budgets, usage alerts, credit requests and task-cost visibility.</x:v>
      </x:c>
      <x:c r="F300" s="23" t="str">
        <x:v>Medium</x:v>
      </x:c>
      <x:c r="G300" s="19" t="str">
        <x:v>Cap a pilot group’s spend and inspect task-level costs.</x:v>
      </x:c>
      <x:c r="H300" s="19" t="str">
        <x:v>Makes variable-cost agent work governable at rollout. The productivity benefit is indirect and mainly affects administrators or purchasing decisions.</x:v>
      </x:c>
      <x:c r="I300" s="19" t="str">
        <x:v>GA</x:v>
      </x:c>
      <x:c r="J300" s="19" t="str">
        <x:v>Copilot Cowork entitlement and billing configuration
Tenant/group/user controls described in launch announcement
GA. Tenant/group/user controls described in launch announcement. Copilot Cowork entitlement and billing configuration.</x:v>
      </x:c>
      <x:c r="K300" s="19" t="str">
        <x:v>2026-06-16</x:v>
      </x:c>
      <x:c r="L300" s="25" t="str">
        <x:f>IFERROR(HYPERLINK("https://www.microsoft.com/en-us/copilot/blog/2026/06/16/copilot-cowork-is-now-generally-available/","Copilot Cowork is now generally available"),"Copilot Cowork is now generally available")</x:f>
        <x:v>Copilot Cowork is now generally available</x:v>
      </x:c>
      <x:c r="M300" s="25"/>
      <x:c r="N300" s="20" t="d">
        <x:v>2026-06-16T00:00:00.000Z</x:v>
      </x:c>
      <x:c r="O300" s="20" t="d">
        <x:v>2026-10-16T00:00:00.000Z</x:v>
      </x:c>
      <x:c r="P300" s="24" t="str">
        <x:v>COP-463AA15453</x:v>
      </x:c>
      <x:c r="Q300" s="19" t="str">
        <x:v>GA</x:v>
      </x:c>
      <x:c r="R300" s="19" t="str">
        <x:v>Checked 2026-10-16. Availability is the historical state stated by this source, not proof of availability for every tenant today. </x:v>
      </x:c>
      <x:c r="S300" s="19" t="str"/>
      <x:c r="T300" s="19" t="str"/>
      <x:c r="U300" s="20" t="d">
        <x:v>2026-06-16T00:00:00.000Z</x:v>
      </x:c>
    </x:row>
    <x:row r="301" ht="115" customHeight="1">
      <x:c r="A301" s="21" t="d">
        <x:v>2026-06-16T00:00:00.000Z</x:v>
      </x:c>
      <x:c r="B301" s="19" t="str">
        <x:v>Release-note report date. Billing transition. Availability precision: Exact announcement day; availability month or window only</x:v>
      </x:c>
      <x:c r="C301" s="19" t="str">
        <x:v>Copilot Cowork / billing</x:v>
      </x:c>
      <x:c r="D301" s="19" t="str">
        <x:v>Usage billing and Frontier grace period</x:v>
      </x:c>
      <x:c r="E301" s="19" t="str">
        <x:v>Cowork starts metered billing, with a temporary exception for qualifying preview tenants.</x:v>
      </x:c>
      <x:c r="F301" s="23" t="str">
        <x:v>Medium</x:v>
      </x:c>
      <x:c r="G301" s="19" t="str">
        <x:v>Budget a Cowork pilot and set limits before scaling usage.</x:v>
      </x:c>
      <x:c r="H301" s="19" t="str">
        <x:v>Creates additional variable costs beyond the base Copilot subscription. The productivity benefit is indirect and mainly affects administrators or purchasing decisions.</x:v>
      </x:c>
      <x:c r="I301" s="19" t="str">
        <x:v>Billing transition</x:v>
      </x:c>
      <x:c r="J301" s="19" t="str">
        <x:v>Microsoft 365 Copilot USL plus credits; launch PayGo rate $0.01/Copilot Credit
Qualifying tenant had a Frontier user who used Cowork March 30–June 16
Billing transition. Qualifying tenant had a Frontier user who used Cowork March 30–June 16. Microsoft 365 Copilot USL plus credits; launch PayGo rate $0.01/Copilot Credit.</x:v>
      </x:c>
      <x:c r="K301" s="19" t="str">
        <x:v>2026-06-16; qualifying Frontier tenants 2026-07-01</x:v>
      </x:c>
      <x:c r="L301" s="25" t="str">
        <x:f>IFERROR(HYPERLINK("https://www.microsoft.com/en-us/copilot/blog/2026/06/16/copilot-cowork-is-now-generally-available/","Copilot Cowork is now generally available"),"Copilot Cowork is now generally available")</x:f>
        <x:v>Copilot Cowork is now generally available</x:v>
      </x:c>
      <x:c r="M301" s="25" t="str"/>
      <x:c r="N301" s="20" t="d">
        <x:v>2026-06-16T00:00:00.000Z</x:v>
      </x:c>
      <x:c r="O301" s="20" t="d">
        <x:v>2026-10-16T00:00:00.000Z</x:v>
      </x:c>
      <x:c r="P301" s="24" t="str">
        <x:v>COP-AC01C47847</x:v>
      </x:c>
      <x:c r="Q301" s="19" t="str">
        <x:v>Billing transition</x:v>
      </x:c>
      <x:c r="R301" s="19" t="str">
        <x:v>Checked 2026-10-16. Availability is the historical state stated by this source, not proof of availability for every tenant today. Launch terms only, not a current price quote. Four charge inputs: model, context, tools and runtime.</x:v>
      </x:c>
      <x:c r="S301" s="19" t="str"/>
      <x:c r="T301" s="19"/>
      <x:c r="U301" s="20" t="d">
        <x:v>2026-06-16T00:00:00.000Z</x:v>
      </x:c>
    </x:row>
    <x:row r="302" ht="85" customHeight="1">
      <x:c r="A302" s="21" t="d">
        <x:v>2026-06-16T00:00:00.000Z</x:v>
      </x:c>
      <x:c r="B302" s="19" t="str">
        <x:v>Release-note report date. Documented GA rollout. Availability precision: Release window; exact day unknown</x:v>
      </x:c>
      <x:c r="C302" s="19" t="str">
        <x:v>Microsoft 365 Copilot Chat</x:v>
      </x:c>
      <x:c r="D302" s="19" t="str">
        <x:v>Claude selection in Copilot Chat</x:v>
      </x:c>
      <x:c r="E302" s="19" t="str">
        <x:v>Choose an Anthropic model for chat analysis and content work.</x:v>
      </x:c>
      <x:c r="F302" s="23" t="str">
        <x:v>High</x:v>
      </x:c>
      <x:c r="G302" s="19" t="str">
        <x:v>Compare model approaches to a complex document synthesis task.</x:v>
      </x:c>
      <x:c r="H302" s="19" t="str">
        <x:v>Expands model choice for substantive analytical work.</x:v>
      </x:c>
      <x:c r="I302" s="19" t="str">
        <x:v>GA feed; staged deployment</x:v>
      </x:c>
      <x:c r="J302" s="19" t="str">
        <x:v>Not specified in dated entry; verify tenant entitlement
Android, Windows, iOS, Mac, Web
Gradual tenant rollout; exact per-user availability is not established. Licensing is not specified in this entry.</x:v>
      </x:c>
      <x:c r="K302" s="19" t="str">
        <x:v>2026-06-02 to 2026-06-16</x:v>
      </x:c>
      <x:c r="L302" s="25" t="str">
        <x:f>IFERROR(HYPERLINK("https://learn.microsoft.com/en-us/microsoft-365/copilot/release-notes#june-16-2026","Microsoft 365 Copilot release notes — June 16, 2026"),"Microsoft 365 Copilot release notes — June 16, 2026")</x:f>
        <x:v>Microsoft 365 Copilot release notes — June 16, 2026</x:v>
      </x:c>
      <x:c r="M302" s="25"/>
      <x:c r="N302" s="20" t="d">
        <x:v>2026-06-16T00:00:00.000Z</x:v>
      </x:c>
      <x:c r="O302" s="20" t="d">
        <x:v>2026-10-16T00:00:00.000Z</x:v>
      </x:c>
      <x:c r="P302" s="24" t="str">
        <x:v>COP-3F4D93586F</x:v>
      </x:c>
      <x:c r="Q302" s="19" t="str">
        <x:v>Documented GA rollout</x:v>
      </x:c>
      <x:c r="R302" s="19" t="str">
        <x:v>Source is the official GA/Current Channel release-note feed, checked 2026-10-16. Header date is documentation date; actual release is only bounded by the stated window.</x:v>
      </x:c>
      <x:c r="S302" s="19" t="str"/>
      <x:c r="T302" s="19" t="str"/>
      <x:c r="U302" s="20"/>
    </x:row>
    <x:row r="303" ht="85" customHeight="1">
      <x:c r="A303" s="21" t="d">
        <x:v>2026-06-16T00:00:00.000Z</x:v>
      </x:c>
      <x:c r="B303" s="19" t="str">
        <x:v>Release-note report date. Documented GA rollout. Availability precision: Release window; exact day unknown</x:v>
      </x:c>
      <x:c r="C303" s="19" t="str">
        <x:v>Microsoft 365 Copilot Chat</x:v>
      </x:c>
      <x:c r="D303" s="19" t="str">
        <x:v>Continuous scrolling through chat history</x:v>
      </x:c>
      <x:c r="E303" s="19" t="str">
        <x:v>Older conversations load as users scroll their history.</x:v>
      </x:c>
      <x:c r="F303" s="23" t="str">
        <x:v>Low</x:v>
      </x:c>
      <x:c r="G303" s="19" t="str">
        <x:v>Locate an earlier project discussion with fewer navigation steps.</x:v>
      </x:c>
      <x:c r="H303" s="19" t="str">
        <x:v>Saves navigation effort when retrieving earlier conversations.</x:v>
      </x:c>
      <x:c r="I303" s="19" t="str">
        <x:v>GA feed; staged deployment</x:v>
      </x:c>
      <x:c r="J303" s="19" t="str">
        <x:v>Not specified in dated entry; verify tenant entitlement
Web
Gradual tenant rollout; exact per-user availability is not established. Licensing is not specified in this entry.</x:v>
      </x:c>
      <x:c r="K303" s="19" t="str">
        <x:v>2026-06-02 to 2026-06-16</x:v>
      </x:c>
      <x:c r="L303" s="25" t="str">
        <x:f>IFERROR(HYPERLINK("https://learn.microsoft.com/en-us/microsoft-365/copilot/release-notes#june-16-2026","Microsoft 365 Copilot release notes — June 16, 2026"),"Microsoft 365 Copilot release notes — June 16, 2026")</x:f>
        <x:v>Microsoft 365 Copilot release notes — June 16, 2026</x:v>
      </x:c>
      <x:c r="M303" s="25" t="str"/>
      <x:c r="N303" s="20" t="d">
        <x:v>2026-06-16T00:00:00.000Z</x:v>
      </x:c>
      <x:c r="O303" s="20" t="d">
        <x:v>2026-10-16T00:00:00.000Z</x:v>
      </x:c>
      <x:c r="P303" s="24" t="str">
        <x:v>COP-E6293186BE</x:v>
      </x:c>
      <x:c r="Q303" s="19" t="str">
        <x:v>Documented GA rollout</x:v>
      </x:c>
      <x:c r="R303" s="19" t="str">
        <x:v>Source is the official GA/Current Channel release-note feed, checked 2026-10-16. Header date is documentation date; actual release is only bounded by the stated window.</x:v>
      </x:c>
      <x:c r="S303" s="19" t="str"/>
      <x:c r="T303" s="19" t="str">
        <x:v>557348</x:v>
      </x:c>
      <x:c r="U303" s="20"/>
    </x:row>
    <x:row r="304" ht="85" customHeight="1">
      <x:c r="A304" s="21" t="d">
        <x:v>2026-06-16T00:00:00.000Z</x:v>
      </x:c>
      <x:c r="B304" s="19" t="str">
        <x:v>Release-note report date. Documented GA rollout. Availability precision: Release window; exact day unknown</x:v>
      </x:c>
      <x:c r="C304" s="19" t="str">
        <x:v>Microsoft 365 Copilot extensibility</x:v>
      </x:c>
      <x:c r="D304" s="19" t="str">
        <x:v>15Five connector</x:v>
      </x:c>
      <x:c r="E304" s="19" t="str">
        <x:v>Bring 15Five priorities and recognition information into Copilot.</x:v>
      </x:c>
      <x:c r="F304" s="23" t="str">
        <x:v>Medium</x:v>
      </x:c>
      <x:c r="G304" s="19" t="str">
        <x:v>Include team priorities in a weekly manager briefing.</x:v>
      </x:c>
      <x:c r="H304" s="19" t="str">
        <x:v>Adds a specific external team-information source.</x:v>
      </x:c>
      <x:c r="I304" s="19" t="str">
        <x:v>GA feed; staged deployment</x:v>
      </x:c>
      <x:c r="J304" s="19" t="str">
        <x:v>Not specified in dated entry; verify tenant entitlement
Web
Gradual tenant rollout; exact per-user availability is not established. Licensing is not specified in this entry.</x:v>
      </x:c>
      <x:c r="K304" s="19" t="str">
        <x:v>2026-06-02 to 2026-06-16</x:v>
      </x:c>
      <x:c r="L304" s="25" t="str">
        <x:f>IFERROR(HYPERLINK("https://learn.microsoft.com/en-us/microsoft-365/copilot/release-notes#june-16-2026","Microsoft 365 Copilot release notes — June 16, 2026"),"Microsoft 365 Copilot release notes — June 16, 2026")</x:f>
        <x:v>Microsoft 365 Copilot release notes — June 16, 2026</x:v>
      </x:c>
      <x:c r="M304" s="25" t="str"/>
      <x:c r="N304" s="20" t="d">
        <x:v>2026-06-16T00:00:00.000Z</x:v>
      </x:c>
      <x:c r="O304" s="20" t="d">
        <x:v>2026-10-16T00:00:00.000Z</x:v>
      </x:c>
      <x:c r="P304" s="24" t="str">
        <x:v>COP-AA976C5CAE</x:v>
      </x:c>
      <x:c r="Q304" s="19" t="str">
        <x:v>Documented GA rollout</x:v>
      </x:c>
      <x:c r="R304" s="19" t="str">
        <x:v>Source is the official GA/Current Channel release-note feed, checked 2026-10-16. Header date is documentation date; actual release is only bounded by the stated window.</x:v>
      </x:c>
      <x:c r="S304" s="19" t="str"/>
      <x:c r="T304" s="19" t="str">
        <x:v>515160</x:v>
      </x:c>
      <x:c r="U304" s="20"/>
    </x:row>
    <x:row r="305" ht="85" customHeight="1">
      <x:c r="A305" s="21" t="d">
        <x:v>2026-06-16T00:00:00.000Z</x:v>
      </x:c>
      <x:c r="B305" s="19" t="str">
        <x:v>Release-note report date. Documented GA rollout. Availability precision: Release window; exact day unknown</x:v>
      </x:c>
      <x:c r="C305" s="19" t="str">
        <x:v>PowerPoint</x:v>
      </x:c>
      <x:c r="D305" s="19" t="str">
        <x:v>FLUX.2 Flex in PowerPoint</x:v>
      </x:c>
      <x:c r="E305" s="19" t="str">
        <x:v>Choose an additional image-generation model for presentation visuals.</x:v>
      </x:c>
      <x:c r="F305" s="23" t="str">
        <x:v>Medium</x:v>
      </x:c>
      <x:c r="G305" s="19" t="str">
        <x:v>Compare alternative visual treatments for a campaign presentation.</x:v>
      </x:c>
      <x:c r="H305" s="19" t="str">
        <x:v>Adds visual alternatives for presentation creation.</x:v>
      </x:c>
      <x:c r="I305" s="19" t="str">
        <x:v>GA feed; staged deployment</x:v>
      </x:c>
      <x:c r="J305" s="19" t="str">
        <x:v>Not specified in dated entry; verify tenant entitlement
Web
Gradual tenant rollout; exact per-user availability is not established. Licensing is not specified in this entry.</x:v>
      </x:c>
      <x:c r="K305" s="19" t="str">
        <x:v>2026-06-02 to 2026-06-16</x:v>
      </x:c>
      <x:c r="L305" s="25" t="str">
        <x:f>IFERROR(HYPERLINK("https://learn.microsoft.com/en-us/microsoft-365/copilot/release-notes#june-16-2026","Microsoft 365 Copilot release notes — June 16, 2026"),"Microsoft 365 Copilot release notes — June 16, 2026")</x:f>
        <x:v>Microsoft 365 Copilot release notes — June 16, 2026</x:v>
      </x:c>
      <x:c r="M305" s="25"/>
      <x:c r="N305" s="20" t="d">
        <x:v>2026-06-16T00:00:00.000Z</x:v>
      </x:c>
      <x:c r="O305" s="20" t="d">
        <x:v>2026-10-16T00:00:00.000Z</x:v>
      </x:c>
      <x:c r="P305" s="24" t="str">
        <x:v>COP-F774C84A9A</x:v>
      </x:c>
      <x:c r="Q305" s="19" t="str">
        <x:v>Documented GA rollout</x:v>
      </x:c>
      <x:c r="R305" s="19" t="str">
        <x:v>Source is the official GA/Current Channel release-note feed, checked 2026-10-16. Header date is documentation date; actual release is only bounded by the stated window.</x:v>
      </x:c>
      <x:c r="S305" s="19" t="str"/>
      <x:c r="T305" s="19" t="str"/>
      <x:c r="U305" s="20"/>
    </x:row>
    <x:row r="306" ht="85" customHeight="1">
      <x:c r="A306" s="21" t="d">
        <x:v>2026-06-16T00:00:00.000Z</x:v>
      </x:c>
      <x:c r="B306" s="19" t="str">
        <x:v>Release-note report date. Documented GA rollout. Availability precision: Release window; exact day unknown</x:v>
      </x:c>
      <x:c r="C306" s="19" t="str">
        <x:v>PowerPoint</x:v>
      </x:c>
      <x:c r="D306" s="19" t="str">
        <x:v>Multiple organizational asset libraries</x:v>
      </x:c>
      <x:c r="E306" s="19" t="str">
        <x:v>PowerPoint Copilot can retrieve approved imagery from multiple SharePoint asset libraries.</x:v>
      </x:c>
      <x:c r="F306" s="23" t="str">
        <x:v>Medium</x:v>
      </x:c>
      <x:c r="G306" s="19" t="str">
        <x:v>Create a cross-brand deck without manually collecting approved imagery.</x:v>
      </x:c>
      <x:c r="H306" s="19" t="str">
        <x:v>Makes approved multi-library imagery accessible during deck creation.</x:v>
      </x:c>
      <x:c r="I306" s="19" t="str">
        <x:v>GA feed; staged deployment</x:v>
      </x:c>
      <x:c r="J306" s="19" t="str">
        <x:v>Not specified in dated entry; verify tenant entitlement
Windows, Web, Mac
Gradual tenant rollout; exact per-user availability is not established. Licensing is not specified in this entry.</x:v>
      </x:c>
      <x:c r="K306" s="19" t="str">
        <x:v>2026-06-02 to 2026-06-16</x:v>
      </x:c>
      <x:c r="L306" s="25" t="str">
        <x:f>IFERROR(HYPERLINK("https://learn.microsoft.com/en-us/microsoft-365/copilot/release-notes#june-16-2026","Microsoft 365 Copilot release notes — June 16, 2026"),"Microsoft 365 Copilot release notes — June 16, 2026")</x:f>
        <x:v>Microsoft 365 Copilot release notes — June 16, 2026</x:v>
      </x:c>
      <x:c r="M306" s="25" t="str">
        <x:f>IFERROR(HYPERLINK("https://learn.microsoft.com/en-us/sharepoint/connect-organizational-asset-libraries-to-copilot","Additional Microsoft source"),"Additional Microsoft source")</x:f>
        <x:v>Additional Microsoft source</x:v>
      </x:c>
      <x:c r="N306" s="20" t="d">
        <x:v>2026-06-16T00:00:00.000Z</x:v>
      </x:c>
      <x:c r="O306" s="20" t="d">
        <x:v>2026-10-16T00:00:00.000Z</x:v>
      </x:c>
      <x:c r="P306" s="24" t="str">
        <x:v>COP-C79F4DD0C6</x:v>
      </x:c>
      <x:c r="Q306" s="19" t="str">
        <x:v>Documented GA rollout</x:v>
      </x:c>
      <x:c r="R306" s="19" t="str">
        <x:v>Source is the official GA/Current Channel release-note feed, checked 2026-10-16. Header date is documentation date; actual release is only bounded by the stated window.</x:v>
      </x:c>
      <x:c r="S306" s="19" t="str"/>
      <x:c r="T306" s="19" t="str"/>
      <x:c r="U306" s="20"/>
    </x:row>
    <x:row r="307" ht="85" customHeight="1">
      <x:c r="A307" s="21" t="d">
        <x:v>2026-06-16T00:00:00.000Z</x:v>
      </x:c>
      <x:c r="B307" s="19" t="str">
        <x:v>Release-note report date. Documented GA rollout. Availability precision: Release window; exact day unknown</x:v>
      </x:c>
      <x:c r="C307" s="19" t="str">
        <x:v>PowerPoint</x:v>
      </x:c>
      <x:c r="D307" s="19" t="str">
        <x:v>PowerPoint visual explanations</x:v>
      </x:c>
      <x:c r="E307" s="19" t="str">
        <x:v>Ask Copilot to explain selected images and shapes.</x:v>
      </x:c>
      <x:c r="F307" s="23" t="str">
        <x:v>Medium</x:v>
      </x:c>
      <x:c r="G307" s="19" t="str">
        <x:v>Understand an unfamiliar diagram before presenting it to stakeholders.</x:v>
      </x:c>
      <x:c r="H307" s="19" t="str">
        <x:v>Helps reviewers interpret unfamiliar diagrams and imagery.</x:v>
      </x:c>
      <x:c r="I307" s="19" t="str">
        <x:v>GA feed; staged deployment</x:v>
      </x:c>
      <x:c r="J307" s="19" t="str">
        <x:v>Not specified in dated entry; verify tenant entitlement
Windows, Web, Mac
Gradual tenant rollout; exact per-user availability is not established. Licensing is not specified in this entry.</x:v>
      </x:c>
      <x:c r="K307" s="19" t="str">
        <x:v>2026-06-02 to 2026-06-16</x:v>
      </x:c>
      <x:c r="L307" s="25" t="str">
        <x:f>IFERROR(HYPERLINK("https://learn.microsoft.com/en-us/microsoft-365/copilot/release-notes#june-16-2026","Microsoft 365 Copilot release notes — June 16, 2026"),"Microsoft 365 Copilot release notes — June 16, 2026")</x:f>
        <x:v>Microsoft 365 Copilot release notes — June 16, 2026</x:v>
      </x:c>
      <x:c r="M307" s="25" t="str">
        <x:f>IFERROR(HYPERLINK("https://techcommunity.microsoft.com/blog/microsoft365insiderblog/get-clarity-on-complex-presentations-with-explainer-in-powerpoint/4479559","Additional Microsoft source"),"Additional Microsoft source")</x:f>
        <x:v>Additional Microsoft source</x:v>
      </x:c>
      <x:c r="N307" s="20" t="d">
        <x:v>2026-06-16T00:00:00.000Z</x:v>
      </x:c>
      <x:c r="O307" s="20" t="d">
        <x:v>2026-10-16T00:00:00.000Z</x:v>
      </x:c>
      <x:c r="P307" s="24" t="str">
        <x:v>COP-5CD566E4B7</x:v>
      </x:c>
      <x:c r="Q307" s="19" t="str">
        <x:v>Documented GA rollout</x:v>
      </x:c>
      <x:c r="R307" s="19" t="str">
        <x:v>Source is the official GA/Current Channel release-note feed, checked 2026-10-16. Header date is documentation date; actual release is only bounded by the stated window.</x:v>
      </x:c>
      <x:c r="S307" s="19" t="str"/>
      <x:c r="T307" s="19" t="str"/>
      <x:c r="U307" s="20"/>
    </x:row>
    <x:row r="308" ht="85" customHeight="1">
      <x:c r="A308" s="21" t="d">
        <x:v>2026-06-02T00:00:00.000Z</x:v>
      </x:c>
      <x:c r="B308" s="19" t="str">
        <x:v>Release-note report date. Documented GA rollout. Availability precision: Release window; exact day unknown</x:v>
      </x:c>
      <x:c r="C308" s="19" t="str">
        <x:v>Copilot Studio</x:v>
      </x:c>
      <x:c r="D308" s="19" t="str">
        <x:v>Agent evaluation graders</x:v>
      </x:c>
      <x:c r="E308" s="19" t="str">
        <x:v>Use grading criteria to assess agent test results.</x:v>
      </x:c>
      <x:c r="F308" s="23" t="str">
        <x:v>Medium</x:v>
      </x:c>
      <x:c r="G308" s="19" t="str">
        <x:v>Compare agent versions against repeatable quality requirements.</x:v>
      </x:c>
      <x:c r="H308" s="19" t="str">
        <x:v>Supports more systematic measurement of agent quality.</x:v>
      </x:c>
      <x:c r="I308" s="19" t="str">
        <x:v>GA feed; staged deployment</x:v>
      </x:c>
      <x:c r="J308" s="19" t="str">
        <x:v>Not specified in dated entry; verify tenant entitlement
Web
Gradual tenant rollout; exact per-user availability is not established. Licensing is not specified in this entry.</x:v>
      </x:c>
      <x:c r="K308" s="19" t="str">
        <x:v>2026-05-19 to 2026-06-02</x:v>
      </x:c>
      <x:c r="L308" s="25" t="str">
        <x:f>IFERROR(HYPERLINK("https://learn.microsoft.com/en-us/microsoft-365/copilot/release-notes#june-2-2026","Microsoft 365 Copilot release notes — June 2, 2026"),"Microsoft 365 Copilot release notes — June 2, 2026")</x:f>
        <x:v>Microsoft 365 Copilot release notes — June 2, 2026</x:v>
      </x:c>
      <x:c r="M308" s="25" t="str">
        <x:f>IFERROR(HYPERLINK("https://learn.microsoft.com/en-us/microsoft-copilot-studio/analytics-agent-evaluation-create","Additional Microsoft source"),"Additional Microsoft source")</x:f>
        <x:v>Additional Microsoft source</x:v>
      </x:c>
      <x:c r="N308" s="20" t="d">
        <x:v>2026-06-02T00:00:00.000Z</x:v>
      </x:c>
      <x:c r="O308" s="20" t="d">
        <x:v>2026-10-16T00:00:00.000Z</x:v>
      </x:c>
      <x:c r="P308" s="24" t="str">
        <x:v>COP-A7C31F44AB</x:v>
      </x:c>
      <x:c r="Q308" s="19" t="str">
        <x:v>Documented GA rollout</x:v>
      </x:c>
      <x:c r="R308" s="19" t="str">
        <x:v>Source is the official GA/Current Channel release-note feed, checked 2026-10-16. Header date is documentation date; actual release is only bounded by the stated window.</x:v>
      </x:c>
      <x:c r="S308" s="19" t="str"/>
      <x:c r="T308" s="19" t="str"/>
      <x:c r="U308" s="20"/>
    </x:row>
    <x:row r="309" ht="85" customHeight="1">
      <x:c r="A309" s="21" t="d">
        <x:v>2026-06-02T00:00:00.000Z</x:v>
      </x:c>
      <x:c r="B309" s="19" t="str">
        <x:v>Release-note report date. Documented GA rollout. Availability precision: Release window; exact day unknown</x:v>
      </x:c>
      <x:c r="C309" s="19" t="str">
        <x:v>Copilot Studio</x:v>
      </x:c>
      <x:c r="D309" s="19" t="str">
        <x:v>Expected answers for agent evaluation</x:v>
      </x:c>
      <x:c r="E309" s="19" t="str">
        <x:v>Provide expected responses when defining evaluation test cases.</x:v>
      </x:c>
      <x:c r="F309" s="23" t="str">
        <x:v>Medium</x:v>
      </x:c>
      <x:c r="G309" s="19" t="str">
        <x:v>Check whether an internal FAQ agent answers known scenarios correctly.</x:v>
      </x:c>
      <x:c r="H309" s="19" t="str">
        <x:v>Makes known-answer agent testing more reproducible.</x:v>
      </x:c>
      <x:c r="I309" s="19" t="str">
        <x:v>GA feed; staged deployment</x:v>
      </x:c>
      <x:c r="J309" s="19" t="str">
        <x:v>Not specified in dated entry; verify tenant entitlement
Web
Gradual tenant rollout; exact per-user availability is not established. Licensing is not specified in this entry.</x:v>
      </x:c>
      <x:c r="K309" s="19" t="str">
        <x:v>2026-05-19 to 2026-06-02</x:v>
      </x:c>
      <x:c r="L309" s="25" t="str">
        <x:f>IFERROR(HYPERLINK("https://learn.microsoft.com/en-us/microsoft-365/copilot/release-notes#june-2-2026","Microsoft 365 Copilot release notes — June 2, 2026"),"Microsoft 365 Copilot release notes — June 2, 2026")</x:f>
        <x:v>Microsoft 365 Copilot release notes — June 2, 2026</x:v>
      </x:c>
      <x:c r="M309" s="25" t="str">
        <x:f>IFERROR(HYPERLINK("https://learn.microsoft.com/en-us/microsoft-copilot-studio/analytics-agent-evaluation-create","Additional Microsoft source"),"Additional Microsoft source")</x:f>
        <x:v>Additional Microsoft source</x:v>
      </x:c>
      <x:c r="N309" s="20" t="d">
        <x:v>2026-06-02T00:00:00.000Z</x:v>
      </x:c>
      <x:c r="O309" s="20" t="d">
        <x:v>2026-10-16T00:00:00.000Z</x:v>
      </x:c>
      <x:c r="P309" s="24" t="str">
        <x:v>COP-0781DE8AE2</x:v>
      </x:c>
      <x:c r="Q309" s="19" t="str">
        <x:v>Documented GA rollout</x:v>
      </x:c>
      <x:c r="R309" s="19" t="str">
        <x:v>Source is the official GA/Current Channel release-note feed, checked 2026-10-16. Header date is documentation date; actual release is only bounded by the stated window.</x:v>
      </x:c>
      <x:c r="S309" s="19" t="str"/>
      <x:c r="T309" s="19" t="str"/>
      <x:c r="U309" s="20"/>
    </x:row>
    <x:row r="310" ht="100" customHeight="1">
      <x:c r="A310" s="21" t="d">
        <x:v>2026-06-02T00:00:00.000Z</x:v>
      </x:c>
      <x:c r="B310" s="19" t="str">
        <x:v>GA. Availability precision: Exact announcement day; exact stated availability day</x:v>
      </x:c>
      <x:c r="C310" s="19" t="str">
        <x:v>Learning Agent</x:v>
      </x:c>
      <x:c r="D310" s="19" t="str">
        <x:v>Learning Agent generally available</x:v>
      </x:c>
      <x:c r="E310" s="19" t="str">
        <x:v>Provide work-context-aware learning and skill-development assistance.</x:v>
      </x:c>
      <x:c r="F310" s="23" t="str">
        <x:v>Medium</x:v>
      </x:c>
      <x:c r="G310" s="19" t="str">
        <x:v>Get a role-relevant practice plan for using Copilot effectively.</x:v>
      </x:c>
      <x:c r="H310" s="19" t="str">
        <x:v>Supports adoption through relevant training inside everyday work tools.</x:v>
      </x:c>
      <x:c r="I310" s="19" t="str">
        <x:v>GA</x:v>
      </x:c>
      <x:c r="J310" s="19" t="str">
        <x:v>Microsoft 365 Copilot; additional Viva Learning/provider licenses for some enhanced experiences
Copilot app/web and Word, Excel, PowerPoint, Teams
GA. Copilot app/web and Word, Excel, PowerPoint, Teams. Microsoft 365 Copilot; additional Viva Learning/provider licenses for some enhanced experiences.</x:v>
      </x:c>
      <x:c r="K310" s="19" t="str">
        <x:v>2026-06-02</x:v>
      </x:c>
      <x:c r="L310" s="25" t="str">
        <x:f>IFERROR(HYPERLINK("https://techcommunity.microsoft.com/blog/microsoft365copilotblog/learning-agent-now-generally-available-%E2%80%94-personalized-ai-upskilling-for-every-em/4524571","Learning Agent now generally available"),"Learning Agent now generally available")</x:f>
        <x:v>Learning Agent now generally available</x:v>
      </x:c>
      <x:c r="M310" s="25" t="str">
        <x:f>IFERROR(HYPERLINK("https://learn.microsoft.com/en-us/microsoft-365/copilot/release-notes#october-27-2026","October 27 release-note corroboration"),"October 27 release-note corroboration")</x:f>
        <x:v>October 27 release-note corroboration</x:v>
      </x:c>
      <x:c r="N310" s="20" t="d">
        <x:v>2026-06-02T00:00:00.000Z</x:v>
      </x:c>
      <x:c r="O310" s="20" t="d">
        <x:v>2026-10-30T00:00:00.000Z</x:v>
      </x:c>
      <x:c r="P310" s="24" t="str">
        <x:v>COP-9204BC20E9</x:v>
      </x:c>
      <x:c r="Q310" s="19" t="str">
        <x:v>GA</x:v>
      </x:c>
      <x:c r="R310" s="19" t="str">
        <x:v>Checked 2026-10-16. Availability is the historical state stated by this source, not proof of availability for every tenant today. AI Skills Navigator integration and admin-led onboarding were separate previews planned later in June. October 27 release notes repeat Learning agent availability for Windows (roadmap 490154), covering October 13–27. This corroborates the earlier GA report; it does not reset the June announcement date or establish a new launch.</x:v>
      </x:c>
      <x:c r="S310" s="19" t="str"/>
      <x:c r="T310" s="19" t="str">
        <x:v>490154</x:v>
      </x:c>
      <x:c r="U310" s="20" t="d">
        <x:v>2026-06-02T00:00:00.000Z</x:v>
      </x:c>
    </x:row>
    <x:row r="311" ht="100" customHeight="1">
      <x:c r="A311" s="21" t="d">
        <x:v>2026-06-02T00:00:00.000Z</x:v>
      </x:c>
      <x:c r="B311" s="19" t="str">
        <x:v>Release-note report date. Documented GA rollout. Availability precision: Release window; exact day unknown</x:v>
      </x:c>
      <x:c r="C311" s="19" t="str">
        <x:v>Microsoft 365 admin center</x:v>
      </x:c>
      <x:c r="D311" s="19" t="str">
        <x:v>Email delivery for organizational messages</x:v>
      </x:c>
      <x:c r="E311" s="19" t="str">
        <x:v>Send centralized organizational messages through email.</x:v>
      </x:c>
      <x:c r="F311" s="23" t="str">
        <x:v>Medium</x:v>
      </x:c>
      <x:c r="G311" s="19" t="str">
        <x:v>Coordinate a Copilot onboarding campaign using familiar inbox delivery.</x:v>
      </x:c>
      <x:c r="H311" s="19" t="str">
        <x:v>Adds familiar inbox delivery to centralized adoption campaigns.</x:v>
      </x:c>
      <x:c r="I311" s="19" t="str">
        <x:v>GA feed; staged deployment</x:v>
      </x:c>
      <x:c r="J311" s="19" t="str">
        <x:v>Not specified in dated entry; verify tenant entitlement
Web
Gradual tenant rollout; exact per-user availability is not established. Licensing is not specified in this entry.</x:v>
      </x:c>
      <x:c r="K311" s="19" t="str">
        <x:v>2026-05-19 to 2026-06-02</x:v>
      </x:c>
      <x:c r="L311" s="25" t="str">
        <x:f>IFERROR(HYPERLINK("https://learn.microsoft.com/en-us/microsoft-365/copilot/release-notes#june-2-2026","Microsoft 365 Copilot release notes — June 2, 2026"),"Microsoft 365 Copilot release notes — June 2, 2026")</x:f>
        <x:v>Microsoft 365 Copilot release notes — June 2, 2026</x:v>
      </x:c>
      <x:c r="M311" s="25" t="str">
        <x:f>IFERROR(HYPERLINK("https://learn.microsoft.com/en-us/microsoft-365/admin/misc/organizational-messages-microsoft-365","Additional Microsoft source"),"Additional Microsoft source")</x:f>
        <x:v>Additional Microsoft source</x:v>
      </x:c>
      <x:c r="N311" s="20" t="d">
        <x:v>2026-06-02T00:00:00.000Z</x:v>
      </x:c>
      <x:c r="O311" s="20" t="d">
        <x:v>2026-10-16T00:00:00.000Z</x:v>
      </x:c>
      <x:c r="P311" s="24" t="str">
        <x:v>COP-2BB97C7F4A</x:v>
      </x:c>
      <x:c r="Q311" s="19" t="str">
        <x:v>Documented GA rollout</x:v>
      </x:c>
      <x:c r="R311"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311" s="19" t="str"/>
      <x:c r="T311" s="19" t="str">
        <x:v>503562</x:v>
      </x:c>
      <x:c r="U311" s="20"/>
    </x:row>
    <x:row r="312" ht="100" customHeight="1">
      <x:c r="A312" s="21" t="d">
        <x:v>2026-06-02T00:00:00.000Z</x:v>
      </x:c>
      <x:c r="B312" s="19" t="str">
        <x:v>Release-note report date. Documented GA rollout. Availability precision: Release window; exact day unknown</x:v>
      </x:c>
      <x:c r="C312" s="19" t="str">
        <x:v>Microsoft 365 admin center</x:v>
      </x:c>
      <x:c r="D312" s="19" t="str">
        <x:v>Usage-based adoption-message targeting</x:v>
      </x:c>
      <x:c r="E312" s="19" t="str">
        <x:v>Target organizational communications using product-engagement segments.</x:v>
      </x:c>
      <x:c r="F312" s="23" t="str">
        <x:v>Medium</x:v>
      </x:c>
      <x:c r="G312" s="19" t="str">
        <x:v>Send introductory Copilot guidance to people who have not tried it.</x:v>
      </x:c>
      <x:c r="H312" s="19" t="str">
        <x:v>Makes adoption communications relevant to actual usage behavior.</x:v>
      </x:c>
      <x:c r="I312" s="19" t="str">
        <x:v>GA feed; staged deployment</x:v>
      </x:c>
      <x:c r="J312" s="19" t="str">
        <x:v>Not specified in dated entry; verify tenant entitlement
Web
Gradual tenant rollout; exact per-user availability is not established. Licensing is not specified in this entry.</x:v>
      </x:c>
      <x:c r="K312" s="19" t="str">
        <x:v>2026-05-19 to 2026-06-02</x:v>
      </x:c>
      <x:c r="L312" s="25" t="str">
        <x:f>IFERROR(HYPERLINK("https://learn.microsoft.com/en-us/microsoft-365/copilot/release-notes#june-2-2026","Microsoft 365 Copilot release notes — June 2, 2026"),"Microsoft 365 Copilot release notes — June 2, 2026")</x:f>
        <x:v>Microsoft 365 Copilot release notes — June 2, 2026</x:v>
      </x:c>
      <x:c r="M312" s="25" t="str"/>
      <x:c r="N312" s="20" t="d">
        <x:v>2026-06-02T00:00:00.000Z</x:v>
      </x:c>
      <x:c r="O312" s="20" t="d">
        <x:v>2026-10-16T00:00:00.000Z</x:v>
      </x:c>
      <x:c r="P312" s="24" t="str">
        <x:v>COP-95E7D3040F</x:v>
      </x:c>
      <x:c r="Q312" s="19" t="str">
        <x:v>Documented GA rollout</x:v>
      </x:c>
      <x:c r="R312"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312" s="19" t="str"/>
      <x:c r="T312" s="19" t="str">
        <x:v>503563</x:v>
      </x:c>
      <x:c r="U312" s="20"/>
    </x:row>
    <x:row r="313" ht="85" customHeight="1">
      <x:c r="A313" s="21" t="d">
        <x:v>2026-06-02T00:00:00.000Z</x:v>
      </x:c>
      <x:c r="B313" s="19" t="str">
        <x:v>Release-note report date. Documented GA rollout. Availability precision: Release window; exact day unknown</x:v>
      </x:c>
      <x:c r="C313" s="19" t="str">
        <x:v>Microsoft 365 Copilot extensibility</x:v>
      </x:c>
      <x:c r="D313" s="19" t="str">
        <x:v>Federated connectors reach GA</x:v>
      </x:c>
      <x:c r="E313" s="19" t="str">
        <x:v>Retrieve live third-party data through MCP without indexing it into Microsoft 365.</x:v>
      </x:c>
      <x:c r="F313" s="23" t="str">
        <x:v>High</x:v>
      </x:c>
      <x:c r="G313" s="19" t="str">
        <x:v>Include current CRM or project-system context in a work briefing.</x:v>
      </x:c>
      <x:c r="H313" s="19" t="str">
        <x:v>Adds current external information without an indexing pipeline.</x:v>
      </x:c>
      <x:c r="I313" s="19" t="str">
        <x:v>GA feed; staged deployment</x:v>
      </x:c>
      <x:c r="J313" s="19" t="str">
        <x:v>Not specified in dated entry; verify tenant entitlement
Web
Gradual tenant rollout; exact per-user availability is not established. Licensing is not specified in this entry.</x:v>
      </x:c>
      <x:c r="K313" s="19" t="str">
        <x:v>2026-05-19 to 2026-06-02</x:v>
      </x:c>
      <x:c r="L313" s="25" t="str">
        <x:f>IFERROR(HYPERLINK("https://learn.microsoft.com/en-us/microsoft-365/copilot/release-notes#june-2-2026","Microsoft 365 Copilot release notes — June 2, 2026"),"Microsoft 365 Copilot release notes — June 2, 2026")</x:f>
        <x:v>Microsoft 365 Copilot release notes — June 2, 2026</x:v>
      </x:c>
      <x:c r="M313" s="25" t="str">
        <x:f>IFERROR(HYPERLINK("https://learn.microsoft.com/en-us/microsoft-365/copilot/connectors/federated-connectors-overview","Additional Microsoft source"),"Additional Microsoft source")</x:f>
        <x:v>Additional Microsoft source</x:v>
      </x:c>
      <x:c r="N313" s="20" t="d">
        <x:v>2026-06-02T00:00:00.000Z</x:v>
      </x:c>
      <x:c r="O313" s="20" t="d">
        <x:v>2026-10-16T00:00:00.000Z</x:v>
      </x:c>
      <x:c r="P313" s="24" t="str">
        <x:v>COP-5C92E59B4E</x:v>
      </x:c>
      <x:c r="Q313" s="19" t="str">
        <x:v>Documented GA rollout</x:v>
      </x:c>
      <x:c r="R313" s="19" t="str">
        <x:v>Source is the official GA/Current Channel release-note feed, checked 2026-10-16. Header date is documentation date; actual release is only bounded by the stated window.</x:v>
      </x:c>
      <x:c r="S313" s="19" t="str"/>
      <x:c r="T313" s="19" t="str"/>
      <x:c r="U313" s="20"/>
    </x:row>
    <x:row r="314" ht="85" customHeight="1">
      <x:c r="A314" s="21" t="d">
        <x:v>2026-06-02T00:00:00.000Z</x:v>
      </x:c>
      <x:c r="B314" s="19" t="str">
        <x:v>Release-note report date. Documented GA rollout. Availability precision: Release window; exact day unknown</x:v>
      </x:c>
      <x:c r="C314" s="19" t="str">
        <x:v>Microsoft 365 Copilot extensibility</x:v>
      </x:c>
      <x:c r="D314" s="19" t="str">
        <x:v>Rule-based agent lifecycle management</x:v>
      </x:c>
      <x:c r="E314" s="19" t="str">
        <x:v>Automate first-party agent installation and reassignment of ownerless agents.</x:v>
      </x:c>
      <x:c r="F314" s="23" t="str">
        <x:v>Medium</x:v>
      </x:c>
      <x:c r="G314" s="19" t="str">
        <x:v>Keep agent ownership current after employees change roles.</x:v>
      </x:c>
      <x:c r="H314" s="19" t="str">
        <x:v>Reduces manual upkeep of agent distribution and ownership.</x:v>
      </x:c>
      <x:c r="I314" s="19" t="str">
        <x:v>GA feed; staged deployment</x:v>
      </x:c>
      <x:c r="J314" s="19" t="str">
        <x:v>Not specified in dated entry; verify tenant entitlement
Windows, Web
Gradual tenant rollout; exact per-user availability is not established. Licensing is not specified in this entry.</x:v>
      </x:c>
      <x:c r="K314" s="19" t="str">
        <x:v>2026-05-19 to 2026-06-02</x:v>
      </x:c>
      <x:c r="L314" s="25" t="str">
        <x:f>IFERROR(HYPERLINK("https://learn.microsoft.com/en-us/microsoft-365/copilot/release-notes#june-2-2026","Microsoft 365 Copilot release notes — June 2, 2026"),"Microsoft 365 Copilot release notes — June 2, 2026")</x:f>
        <x:v>Microsoft 365 Copilot release notes — June 2, 2026</x:v>
      </x:c>
      <x:c r="M314" s="25" t="str"/>
      <x:c r="N314" s="20" t="d">
        <x:v>2026-06-02T00:00:00.000Z</x:v>
      </x:c>
      <x:c r="O314" s="20" t="d">
        <x:v>2026-10-16T00:00:00.000Z</x:v>
      </x:c>
      <x:c r="P314" s="24" t="str">
        <x:v>COP-EBE6B62812</x:v>
      </x:c>
      <x:c r="Q314" s="19" t="str">
        <x:v>Documented GA rollout</x:v>
      </x:c>
      <x:c r="R314" s="19" t="str">
        <x:v>Source is the official GA/Current Channel release-note feed, checked 2026-10-16. Header date is documentation date; actual release is only bounded by the stated window.</x:v>
      </x:c>
      <x:c r="S314" s="19" t="str"/>
      <x:c r="T314" s="19" t="str">
        <x:v>481518</x:v>
      </x:c>
      <x:c r="U314" s="20"/>
    </x:row>
    <x:row r="315" ht="85" customHeight="1">
      <x:c r="A315" s="21" t="d">
        <x:v>2026-06-02T00:00:00.000Z</x:v>
      </x:c>
      <x:c r="B315" s="19" t="str">
        <x:v>Release-note report date. Documented GA rollout. Availability precision: Release window; exact day unknown</x:v>
      </x:c>
      <x:c r="C315" s="19" t="str">
        <x:v>Microsoft Copilot app</x:v>
      </x:c>
      <x:c r="D315" s="19" t="str">
        <x:v>Copilot in model-driven apps</x:v>
      </x:c>
      <x:c r="E315" s="19" t="str">
        <x:v>Bring Microsoft 365 work context into supported model-driven application workflows.</x:v>
      </x:c>
      <x:c r="F315" s="23" t="str">
        <x:v>High</x:v>
      </x:c>
      <x:c r="G315" s="19" t="str">
        <x:v>Combine business-record review with related Microsoft 365 information.</x:v>
      </x:c>
      <x:c r="H315" s="19" t="str">
        <x:v>Connects line-of-business workflow context to Microsoft 365 assistance.</x:v>
      </x:c>
      <x:c r="I315" s="19" t="str">
        <x:v>GA feed; staged deployment</x:v>
      </x:c>
      <x:c r="J315" s="19" t="str">
        <x:v>Not specified in dated entry; verify tenant entitlement
Web
Gradual tenant rollout; exact per-user availability is not established. Licensing is not specified in this entry.</x:v>
      </x:c>
      <x:c r="K315" s="19" t="str">
        <x:v>2026-05-19 to 2026-06-02</x:v>
      </x:c>
      <x:c r="L315" s="25" t="str">
        <x:f>IFERROR(HYPERLINK("https://learn.microsoft.com/en-us/microsoft-365/copilot/release-notes#june-2-2026","Microsoft 365 Copilot release notes — June 2, 2026"),"Microsoft 365 Copilot release notes — June 2, 2026")</x:f>
        <x:v>Microsoft 365 Copilot release notes — June 2, 2026</x:v>
      </x:c>
      <x:c r="M315" s="25" t="str">
        <x:f>IFERROR(HYPERLINK("https://learn.microsoft.com/en-us/power-apps/maker/model-driven-apps/add-microsoft-365-copilot","Additional Microsoft source"),"Additional Microsoft source")</x:f>
        <x:v>Additional Microsoft source</x:v>
      </x:c>
      <x:c r="N315" s="20" t="d">
        <x:v>2026-06-02T00:00:00.000Z</x:v>
      </x:c>
      <x:c r="O315" s="20" t="d">
        <x:v>2026-10-16T00:00:00.000Z</x:v>
      </x:c>
      <x:c r="P315" s="24" t="str">
        <x:v>COP-40F145B8BB</x:v>
      </x:c>
      <x:c r="Q315" s="19" t="str">
        <x:v>Documented GA rollout</x:v>
      </x:c>
      <x:c r="R315" s="19" t="str">
        <x:v>Source is the official GA/Current Channel release-note feed, checked 2026-10-16. Header date is documentation date; actual release is only bounded by the stated window.</x:v>
      </x:c>
      <x:c r="S315" s="19" t="str"/>
      <x:c r="T315" s="19" t="str"/>
      <x:c r="U315" s="20"/>
    </x:row>
    <x:row r="316" ht="115" customHeight="1">
      <x:c r="A316" s="21" t="d">
        <x:v>2026-06-02T00:00:00.000Z</x:v>
      </x:c>
      <x:c r="B316" s="19" t="str">
        <x:v>Private preview / experimental Frontier. Availability precision: Exact announcement day; exact stated availability day</x:v>
      </x:c>
      <x:c r="C316" s="19" t="str">
        <x:v>Microsoft Scout</x:v>
      </x:c>
      <x:c r="D316" s="19" t="str">
        <x:v>Experimental always-on personal agent</x:v>
      </x:c>
      <x:c r="E316" s="19" t="str">
        <x:v>Introduce an autonomous agent with its own governed identity and work context.</x:v>
      </x:c>
      <x:c r="F316" s="23" t="str">
        <x:v>High</x:v>
      </x:c>
      <x:c r="G316" s="19" t="str">
        <x:v>Explore a controlled pilot for meeting preparation and commitment follow-through.</x:v>
      </x:c>
      <x:c r="H316" s="19" t="str">
        <x:v>Introduces proactive coordination across apps rather than isolated prompted tasks.</x:v>
      </x:c>
      <x:c r="I316" s="19" t="str">
        <x:v>Private preview / experimental Frontier</x:v>
      </x:c>
      <x:c r="J316" s="19" t="str">
        <x:v>Source requires Frontier enrollment, Intune policy, opt-in attestation and GitHub Copilot license
Selected customers and Frontier organizations; not broad GA
Private preview / experimental Frontier. Selected customers and Frontier organizations; not broad GA. Source requires Frontier enrollment, Intune policy, opt-in attestation and GitHub Copilot license.</x:v>
      </x:c>
      <x:c r="K316" s="19" t="str">
        <x:v>2026-06-02</x:v>
      </x:c>
      <x:c r="L316" s="25" t="str">
        <x:f>IFERROR(HYPERLINK("https://www.microsoft.com/en-us/copilot/blog/2026/06/02/introducing-microsoft-scout-your-always-on-personal-agent/","Introducing Microsoft Scout: Your always-on personal agent"),"Introducing Microsoft Scout: Your always-on personal agent")</x:f>
        <x:v>Introducing Microsoft Scout: Your always-on personal agent</x:v>
      </x:c>
      <x:c r="M316" s="25" t="str"/>
      <x:c r="N316" s="20" t="d">
        <x:v>2026-06-02T00:00:00.000Z</x:v>
      </x:c>
      <x:c r="O316" s="20" t="d">
        <x:v>2026-10-16T00:00:00.000Z</x:v>
      </x:c>
      <x:c r="P316" s="24" t="str">
        <x:v>COP-90A9C82683</x:v>
      </x:c>
      <x:c r="Q316" s="19" t="str">
        <x:v>Private preview / experimental Frontier</x:v>
      </x:c>
      <x:c r="R316" s="19" t="str">
        <x:v>Checked 2026-10-16. Availability is the historical state stated by this source, not proof of availability for every tenant today. Current announcement setup text is mutable; do not equate this experimental product with universally included Microsoft 365 Copilot.</x:v>
      </x:c>
      <x:c r="S316" s="19" t="str"/>
      <x:c r="T316" s="19" t="str"/>
      <x:c r="U316" s="20" t="d">
        <x:v>2026-06-02T00:00:00.000Z</x:v>
      </x:c>
    </x:row>
    <x:row r="317" ht="85" customHeight="1">
      <x:c r="A317" s="21" t="d">
        <x:v>2026-06-02T00:00:00.000Z</x:v>
      </x:c>
      <x:c r="B317" s="19" t="str">
        <x:v>Release-note report date. Documented GA rollout. Availability precision: Release window; exact day unknown</x:v>
      </x:c>
      <x:c r="C317" s="19" t="str">
        <x:v>Word</x:v>
      </x:c>
      <x:c r="D317" s="19" t="str">
        <x:v>Direct editing becomes Word chat default</x:v>
      </x:c>
      <x:c r="E317" s="19" t="str">
        <x:v>Copilot can edit a Word document without first enabling an editing mode.</x:v>
      </x:c>
      <x:c r="F317" s="23" t="str">
        <x:v>High</x:v>
      </x:c>
      <x:c r="G317" s="19" t="str">
        <x:v>Apply requested revisions directly, then review and undo changes as necessary.</x:v>
      </x:c>
      <x:c r="H317" s="19" t="str">
        <x:v>Removes a mode-switching step from substantive document revision.</x:v>
      </x:c>
      <x:c r="I317" s="19" t="str">
        <x:v>GA feed; staged deployment</x:v>
      </x:c>
      <x:c r="J317" s="19" t="str">
        <x:v>Not specified in dated entry; verify tenant entitlement
Web
Gradual tenant rollout; exact per-user availability is not established. Licensing is not specified in this entry.</x:v>
      </x:c>
      <x:c r="K317" s="19" t="str">
        <x:v>2026-05-19 to 2026-06-02</x:v>
      </x:c>
      <x:c r="L317" s="25" t="str">
        <x:f>IFERROR(HYPERLINK("https://learn.microsoft.com/en-us/microsoft-365/copilot/release-notes#june-2-2026","Microsoft 365 Copilot release notes — June 2, 2026"),"Microsoft 365 Copilot release notes — June 2, 2026")</x:f>
        <x:v>Microsoft 365 Copilot release notes — June 2, 2026</x:v>
      </x:c>
      <x:c r="M317" s="25" t="str"/>
      <x:c r="N317" s="20" t="d">
        <x:v>2026-06-02T00:00:00.000Z</x:v>
      </x:c>
      <x:c r="O317" s="20" t="d">
        <x:v>2026-10-16T00:00:00.000Z</x:v>
      </x:c>
      <x:c r="P317" s="24" t="str">
        <x:v>COP-6350D8307F</x:v>
      </x:c>
      <x:c r="Q317" s="19" t="str">
        <x:v>Documented GA rollout</x:v>
      </x:c>
      <x:c r="R317" s="19" t="str">
        <x:v>Source is the official GA/Current Channel release-note feed, checked 2026-10-16. Header date is documentation date; actual release is only bounded by the stated window.</x:v>
      </x:c>
      <x:c r="S317" s="19" t="str"/>
      <x:c r="T317" s="19" t="str">
        <x:v>557673</x:v>
      </x:c>
      <x:c r="U317" s="20"/>
    </x:row>
    <x:row r="318" ht="100" customHeight="1">
      <x:c r="A318" s="21" t="d">
        <x:v>2026-05-29T00:00:00.000Z</x:v>
      </x:c>
      <x:c r="B318" s="19" t="str">
        <x:v>Release-note report date. Reported rollout. Availability precision: Exact announcement day; availability month or window only</x:v>
      </x:c>
      <x:c r="C318" s="19" t="str">
        <x:v>Copilot mobile app</x:v>
      </x:c>
      <x:c r="D318" s="19" t="str">
        <x:v>Apple CarPlay voice access</x:v>
      </x:c>
      <x:c r="E318" s="19" t="str">
        <x:v>Start or continue Copilot voice conversations through CarPlay.</x:v>
      </x:c>
      <x:c r="F318" s="23" t="str">
        <x:v>Low</x:v>
      </x:c>
      <x:c r="G318" s="19" t="str">
        <x:v>Capture a work idea hands-free when appropriate.</x:v>
      </x:c>
      <x:c r="H318" s="19" t="str">
        <x:v>Adds an access surface rather than a new analytical capability.</x:v>
      </x:c>
      <x:c r="I318" s="19" t="str">
        <x:v>Reported rollout</x:v>
      </x:c>
      <x:c r="J318" s="19" t="str">
        <x:v>Not specified in dated announcement; verify tenant entitlement
Apple CarPlay
Reported rollout. Apple CarPlay. Not specified in dated announcement; verify tenant entitlement.</x:v>
      </x:c>
      <x:c r="K318" s="19" t="str">
        <x:v>2026-05</x:v>
      </x:c>
      <x:c r="L318"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18" s="25" t="str">
        <x:f>IFERROR(HYPERLINK("https://learn.microsoft.com/en-us/microsoft-365/copilot/release-notes#september-23-2026","Microsoft release notes, 2026-09-23"),"Microsoft release notes, 2026-09-23")</x:f>
        <x:v>Microsoft release notes, 2026-09-23</x:v>
      </x:c>
      <x:c r="N318" s="20" t="d">
        <x:v>2026-05-29T00:00:00.000Z</x:v>
      </x:c>
      <x:c r="O318" s="20" t="d">
        <x:v>2026-10-16T00:00:00.000Z</x:v>
      </x:c>
      <x:c r="P318" s="24" t="str">
        <x:v>COP-9C50C549E1</x:v>
      </x:c>
      <x:c r="Q318" s="19" t="str">
        <x:v>Reported rollout</x:v>
      </x:c>
      <x:c r="R318" s="19" t="str">
        <x:v>Checked 2026-10-16. Availability is the historical state stated by this source, not proof of availability for every tenant today. Monthly recaps are editable and state dates are tentative.  Later corroboration: 2026-09-23 release-note batch, covering 2026-08-26 to 2026-09-22. This later mention is not counted as another first launch.</x:v>
      </x:c>
      <x:c r="S318" s="19" t="str"/>
      <x:c r="T318" s="19" t="str"/>
      <x:c r="U318" s="20" t="d">
        <x:v>2026-05-29T00:00:00.000Z</x:v>
      </x:c>
    </x:row>
    <x:row r="319" ht="100" customHeight="1">
      <x:c r="A319" s="21" t="d">
        <x:v>2026-05-29T00:00:00.000Z</x:v>
      </x:c>
      <x:c r="B319" s="19" t="str">
        <x:v>Release-note report date. Frontier preview; broader rollout planned. Availability precision: Exact announcement day; availability month or window only</x:v>
      </x:c>
      <x:c r="C319" s="19" t="str">
        <x:v>Copilot Notebooks</x:v>
      </x:c>
      <x:c r="D319" s="19" t="str">
        <x:v>Notebook infographics</x:v>
      </x:c>
      <x:c r="E319" s="19" t="str">
        <x:v>Generate visual summaries from notebook material.</x:v>
      </x:c>
      <x:c r="F319" s="23" t="str">
        <x:v>Medium</x:v>
      </x:c>
      <x:c r="G319" s="19" t="str">
        <x:v>Summarize a research notebook into a shareable infographic.</x:v>
      </x:c>
      <x:c r="H319" s="19" t="str">
        <x:v>Offers a fast first draft for communicating complex findings visually.</x:v>
      </x:c>
      <x:c r="I319" s="19" t="str">
        <x:v>Frontier preview; broader rollout planned</x:v>
      </x:c>
      <x:c r="J319" s="19" t="str">
        <x:v>Not specified in dated announcement; verify tenant entitlement
Platform/region not specified
Frontier preview; broader rollout planned. Platform/region not specified. Not specified in dated announcement; verify tenant entitlement.</x:v>
      </x:c>
      <x:c r="K319" s="19" t="str">
        <x:v>2026-05 preview; 2026-06 worldwide planned</x:v>
      </x:c>
      <x:c r="L319"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19" s="25" t="str"/>
      <x:c r="N319" s="20" t="d">
        <x:v>2026-05-29T00:00:00.000Z</x:v>
      </x:c>
      <x:c r="O319" s="20" t="d">
        <x:v>2026-10-16T00:00:00.000Z</x:v>
      </x:c>
      <x:c r="P319" s="24" t="str">
        <x:v>COP-23FFCAB937</x:v>
      </x:c>
      <x:c r="Q319" s="19" t="str">
        <x:v>Frontier preview; broader rollout planned</x:v>
      </x:c>
      <x:c r="R319" s="19" t="str">
        <x:v>Checked 2026-10-16. Availability is the historical state stated by this source, not proof of availability for every tenant today. Monthly recaps are editable and state dates are tentative. </x:v>
      </x:c>
      <x:c r="S319" s="19" t="str"/>
      <x:c r="T319" s="19" t="str"/>
      <x:c r="U319" s="20" t="d">
        <x:v>2026-05-29T00:00:00.000Z</x:v>
      </x:c>
    </x:row>
    <x:row r="320" ht="100" customHeight="1">
      <x:c r="A320" s="21" t="d">
        <x:v>2026-05-29T00:00:00.000Z</x:v>
      </x:c>
      <x:c r="B320" s="19" t="str">
        <x:v>Release-note report date. Frontier preview; broader rollout planned. Availability precision: Exact announcement day; availability month or window only</x:v>
      </x:c>
      <x:c r="C320" s="19" t="str">
        <x:v>Copilot Notebooks</x:v>
      </x:c>
      <x:c r="D320" s="19" t="str">
        <x:v>Teams meetings as notebook sources</x:v>
      </x:c>
      <x:c r="E320" s="19" t="str">
        <x:v>Ground notebooks in individual meeting transcripts, notes, chats and shared content.</x:v>
      </x:c>
      <x:c r="F320" s="23" t="str">
        <x:v>High</x:v>
      </x:c>
      <x:c r="G320" s="19" t="str">
        <x:v>Connect workshop discussions to the resulting proposal notebook.</x:v>
      </x:c>
      <x:c r="H320" s="19" t="str">
        <x:v>Preserves decision context that would otherwise be scattered across meeting artifacts.</x:v>
      </x:c>
      <x:c r="I320" s="19" t="str">
        <x:v>Frontier preview; broader rollout planned</x:v>
      </x:c>
      <x:c r="J320" s="19" t="str">
        <x:v>Not specified in dated announcement; verify tenant entitlement
Platform/region not specified
Frontier preview; broader rollout planned. Platform/region not specified. Not specified in dated announcement; verify tenant entitlement.</x:v>
      </x:c>
      <x:c r="K320" s="19" t="str">
        <x:v>2026-05 preview; 2026-06 worldwide planned</x:v>
      </x:c>
      <x:c r="L320"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0" s="25" t="str"/>
      <x:c r="N320" s="20" t="d">
        <x:v>2026-05-29T00:00:00.000Z</x:v>
      </x:c>
      <x:c r="O320" s="20" t="d">
        <x:v>2026-10-16T00:00:00.000Z</x:v>
      </x:c>
      <x:c r="P320" s="24" t="str">
        <x:v>COP-8196115294</x:v>
      </x:c>
      <x:c r="Q320" s="19" t="str">
        <x:v>Frontier preview; broader rollout planned</x:v>
      </x:c>
      <x:c r="R320" s="19" t="str">
        <x:v>Checked 2026-10-16. Availability is the historical state stated by this source, not proof of availability for every tenant today. Monthly recaps are editable and state dates are tentative. </x:v>
      </x:c>
      <x:c r="S320" s="19" t="str"/>
      <x:c r="T320" s="19" t="str"/>
      <x:c r="U320" s="20" t="d">
        <x:v>2026-05-29T00:00:00.000Z</x:v>
      </x:c>
    </x:row>
    <x:row r="321" ht="85" customHeight="1">
      <x:c r="A321" s="21" t="d">
        <x:v>2026-05-29T00:00:00.000Z</x:v>
      </x:c>
      <x:c r="B321" s="19" t="str">
        <x:v>Planned rollout. Availability precision: Exact announcement day; future availability not established</x:v>
      </x:c>
      <x:c r="C321" s="19" t="str">
        <x:v>Copilot Notebooks</x:v>
      </x:c>
      <x:c r="D321" s="19" t="str">
        <x:v>Unified project notebook layout</x:v>
      </x:c>
      <x:c r="E321" s="19" t="str">
        <x:v>A revised interface groups chats, references and outputs with OneNote synchronization.</x:v>
      </x:c>
      <x:c r="F321" s="23" t="str">
        <x:v>Medium</x:v>
      </x:c>
      <x:c r="G321" s="19" t="str">
        <x:v>Resume a research project from either OneNote or the Copilot app.</x:v>
      </x:c>
      <x:c r="H321" s="19" t="str">
        <x:v>Makes project context and deliverables easier to find together.</x:v>
      </x:c>
      <x:c r="I321" s="19" t="str">
        <x:v>Planned rollout</x:v>
      </x:c>
      <x:c r="J321" s="19" t="str">
        <x:v>Not specified in dated announcement; verify tenant entitlement
Platform/region not specified
Planned rollout. Platform/region not specified. Not specified in dated announcement; verify tenant entitlement.</x:v>
      </x:c>
      <x:c r="K321" s="19" t="str">
        <x:v>2026-06</x:v>
      </x:c>
      <x:c r="L321"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1" s="25" t="str"/>
      <x:c r="N321" s="20" t="d">
        <x:v>2026-05-29T00:00:00.000Z</x:v>
      </x:c>
      <x:c r="O321" s="20" t="d">
        <x:v>2026-10-16T00:00:00.000Z</x:v>
      </x:c>
      <x:c r="P321" s="24" t="str">
        <x:v>COP-528DDAAC15</x:v>
      </x:c>
      <x:c r="Q321" s="19" t="str">
        <x:v>Planned rollout</x:v>
      </x:c>
      <x:c r="R321" s="19" t="str">
        <x:v>Checked 2026-10-16. Availability is the historical state stated by this source, not proof of availability for every tenant today. Monthly recaps are editable and state dates are tentative. </x:v>
      </x:c>
      <x:c r="S321" s="19" t="str"/>
      <x:c r="T321" s="19" t="str"/>
      <x:c r="U321" s="20" t="d">
        <x:v>2026-05-29T00:00:00.000Z</x:v>
      </x:c>
    </x:row>
    <x:row r="322" ht="100" customHeight="1">
      <x:c r="A322" s="21" t="d">
        <x:v>2026-05-29T00:00:00.000Z</x:v>
      </x:c>
      <x:c r="B322" s="19" t="str">
        <x:v>Release-note report date. Reported rollout. Availability precision: Exact announcement day; availability month or window only</x:v>
      </x:c>
      <x:c r="C322" s="19" t="str">
        <x:v>Outlook</x:v>
      </x:c>
      <x:c r="D322" s="19" t="str">
        <x:v>Copilot account selector</x:v>
      </x:c>
      <x:c r="E322" s="19" t="str">
        <x:v>Switch the active Copilot-enabled account in the calendar side pane.</x:v>
      </x:c>
      <x:c r="F322" s="23" t="str">
        <x:v>Medium</x:v>
      </x:c>
      <x:c r="G322" s="19" t="str">
        <x:v>Verify the selected work account before calendar-related assistance.</x:v>
      </x:c>
      <x:c r="H322" s="19" t="str">
        <x:v>Reduces account ambiguity for people working across tenants.</x:v>
      </x:c>
      <x:c r="I322" s="19" t="str">
        <x:v>Reported rollout</x:v>
      </x:c>
      <x:c r="J322" s="19" t="str">
        <x:v>Not specified in dated announcement; verify tenant entitlement
Outlook for Windows; multiple Copilot-enabled accounts
Reported rollout. Outlook for Windows; multiple Copilot-enabled accounts. Not specified in dated announcement; verify tenant entitlement.</x:v>
      </x:c>
      <x:c r="K322" s="19" t="str">
        <x:v>2026-05</x:v>
      </x:c>
      <x:c r="L322"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2" s="25" t="str"/>
      <x:c r="N322" s="20" t="d">
        <x:v>2026-05-29T00:00:00.000Z</x:v>
      </x:c>
      <x:c r="O322" s="20" t="d">
        <x:v>2026-10-16T00:00:00.000Z</x:v>
      </x:c>
      <x:c r="P322" s="24" t="str">
        <x:v>COP-3BA0FB7348</x:v>
      </x:c>
      <x:c r="Q322" s="19" t="str">
        <x:v>Reported rollout</x:v>
      </x:c>
      <x:c r="R322" s="19" t="str">
        <x:v>Checked 2026-10-16. Availability is the historical state stated by this source, not proof of availability for every tenant today. Monthly recaps are editable and state dates are tentative. </x:v>
      </x:c>
      <x:c r="S322" s="19" t="str"/>
      <x:c r="T322" s="19" t="str"/>
      <x:c r="U322" s="20" t="d">
        <x:v>2026-05-29T00:00:00.000Z</x:v>
      </x:c>
    </x:row>
    <x:row r="323" ht="85" customHeight="1">
      <x:c r="A323" s="21" t="d">
        <x:v>2026-05-29T00:00:00.000Z</x:v>
      </x:c>
      <x:c r="B323" s="19" t="str">
        <x:v>Release-note report date. Reported rollout. Availability precision: Exact announcement day; availability month or window only</x:v>
      </x:c>
      <x:c r="C323" s="19" t="str">
        <x:v>PowerPoint</x:v>
      </x:c>
      <x:c r="D323" s="19" t="str">
        <x:v>Presentation-review skill</x:v>
      </x:c>
      <x:c r="E323" s="19" t="str">
        <x:v>Run a built-in slide-by-slide review.</x:v>
      </x:c>
      <x:c r="F323" s="23" t="str">
        <x:v>Medium</x:v>
      </x:c>
      <x:c r="G323" s="19" t="str">
        <x:v>Review an executive presentation before approval.</x:v>
      </x:c>
      <x:c r="H323" s="19" t="str">
        <x:v>Reduces prompt-writing overhead for a common quality-control task.</x:v>
      </x:c>
      <x:c r="I323" s="19" t="str">
        <x:v>Reported rollout</x:v>
      </x:c>
      <x:c r="J323" s="19" t="str">
        <x:v>Not specified in dated announcement; verify tenant entitlement
Platform/region not specified
Reported rollout. Platform/region not specified. Not specified in dated announcement; verify tenant entitlement.</x:v>
      </x:c>
      <x:c r="K323" s="19" t="str">
        <x:v>2026-05</x:v>
      </x:c>
      <x:c r="L323"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3" s="25" t="str"/>
      <x:c r="N323" s="20" t="d">
        <x:v>2026-05-29T00:00:00.000Z</x:v>
      </x:c>
      <x:c r="O323" s="20" t="d">
        <x:v>2026-10-16T00:00:00.000Z</x:v>
      </x:c>
      <x:c r="P323" s="24" t="str">
        <x:v>COP-4BDB998EAC</x:v>
      </x:c>
      <x:c r="Q323" s="19" t="str">
        <x:v>Reported rollout</x:v>
      </x:c>
      <x:c r="R323" s="19" t="str">
        <x:v>Checked 2026-10-16. Availability is the historical state stated by this source, not proof of availability for every tenant today. Monthly recaps are editable and state dates are tentative. </x:v>
      </x:c>
      <x:c r="S323" s="19" t="str"/>
      <x:c r="T323" s="19" t="str"/>
      <x:c r="U323" s="20" t="d">
        <x:v>2026-05-29T00:00:00.000Z</x:v>
      </x:c>
    </x:row>
    <x:row r="324" ht="85" customHeight="1">
      <x:c r="A324" s="21" t="d">
        <x:v>2026-05-29T00:00:00.000Z</x:v>
      </x:c>
      <x:c r="B324" s="19" t="str">
        <x:v>Release-note report date. Reported rollout. Availability precision: Exact announcement day; availability month or window only</x:v>
      </x:c>
      <x:c r="C324" s="19" t="str">
        <x:v>PowerPoint</x:v>
      </x:c>
      <x:c r="D324" s="19" t="str">
        <x:v>Question-preparation skill</x:v>
      </x:c>
      <x:c r="E324" s="19" t="str">
        <x:v>Use a built-in action to identify weaknesses and likely questions.</x:v>
      </x:c>
      <x:c r="F324" s="23" t="str">
        <x:v>Medium</x:v>
      </x:c>
      <x:c r="G324" s="19" t="str">
        <x:v>Prepare for objections before a steering-committee presentation.</x:v>
      </x:c>
      <x:c r="H324" s="19" t="str">
        <x:v>Supports preparation for stakeholder challenge rather than only slide creation.</x:v>
      </x:c>
      <x:c r="I324" s="19" t="str">
        <x:v>Reported rollout</x:v>
      </x:c>
      <x:c r="J324" s="19" t="str">
        <x:v>Not specified in dated announcement; verify tenant entitlement
Platform/region not specified
Reported rollout. Platform/region not specified. Not specified in dated announcement; verify tenant entitlement.</x:v>
      </x:c>
      <x:c r="K324" s="19" t="str">
        <x:v>2026-05</x:v>
      </x:c>
      <x:c r="L324"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4" s="25" t="str"/>
      <x:c r="N324" s="20" t="d">
        <x:v>2026-05-29T00:00:00.000Z</x:v>
      </x:c>
      <x:c r="O324" s="20" t="d">
        <x:v>2026-10-16T00:00:00.000Z</x:v>
      </x:c>
      <x:c r="P324" s="24" t="str">
        <x:v>COP-450AD8B122</x:v>
      </x:c>
      <x:c r="Q324" s="19" t="str">
        <x:v>Reported rollout</x:v>
      </x:c>
      <x:c r="R324" s="19" t="str">
        <x:v>Checked 2026-10-16. Availability is the historical state stated by this source, not proof of availability for every tenant today. Monthly recaps are editable and state dates are tentative. </x:v>
      </x:c>
      <x:c r="S324" s="19" t="str"/>
      <x:c r="T324" s="19" t="str"/>
      <x:c r="U324" s="20" t="d">
        <x:v>2026-05-29T00:00:00.000Z</x:v>
      </x:c>
    </x:row>
    <x:row r="325" ht="85" customHeight="1">
      <x:c r="A325" s="21" t="d">
        <x:v>2026-05-29T00:00:00.000Z</x:v>
      </x:c>
      <x:c r="B325" s="19" t="str">
        <x:v>Release-note report date. Reported rollout. Availability precision: Exact announcement day; availability month or window only</x:v>
      </x:c>
      <x:c r="C325" s="19" t="str">
        <x:v>PowerPoint</x:v>
      </x:c>
      <x:c r="D325" s="19" t="str">
        <x:v>Slide-visualization skill</x:v>
      </x:c>
      <x:c r="E325" s="19" t="str">
        <x:v>Use a built-in action to transform a text-heavy slide visually.</x:v>
      </x:c>
      <x:c r="F325" s="23" t="str">
        <x:v>Medium</x:v>
      </x:c>
      <x:c r="G325" s="19" t="str">
        <x:v>Turn a crowded process slide into a clearer visual draft.</x:v>
      </x:c>
      <x:c r="H325" s="19" t="str">
        <x:v>Accelerates first-pass redesign of dense presentation content.</x:v>
      </x:c>
      <x:c r="I325" s="19" t="str">
        <x:v>Reported rollout</x:v>
      </x:c>
      <x:c r="J325" s="19" t="str">
        <x:v>Not specified in dated announcement; verify tenant entitlement
Platform/region not specified
Reported rollout. Platform/region not specified. Not specified in dated announcement; verify tenant entitlement.</x:v>
      </x:c>
      <x:c r="K325" s="19" t="str">
        <x:v>2026-05</x:v>
      </x:c>
      <x:c r="L325"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5" s="25"/>
      <x:c r="N325" s="20" t="d">
        <x:v>2026-05-29T00:00:00.000Z</x:v>
      </x:c>
      <x:c r="O325" s="20" t="d">
        <x:v>2026-10-16T00:00:00.000Z</x:v>
      </x:c>
      <x:c r="P325" s="24" t="str">
        <x:v>COP-B9D5865278</x:v>
      </x:c>
      <x:c r="Q325" s="19" t="str">
        <x:v>Reported rollout</x:v>
      </x:c>
      <x:c r="R325" s="19" t="str">
        <x:v>Checked 2026-10-16. Availability is the historical state stated by this source, not proof of availability for every tenant today. Monthly recaps are editable and state dates are tentative. </x:v>
      </x:c>
      <x:c r="S325" s="19" t="str"/>
      <x:c r="T325" s="19"/>
      <x:c r="U325" s="20" t="d">
        <x:v>2026-05-29T00:00:00.000Z</x:v>
      </x:c>
    </x:row>
    <x:row r="326" ht="85" customHeight="1">
      <x:c r="A326" s="21" t="d">
        <x:v>2026-05-29T00:00:00.000Z</x:v>
      </x:c>
      <x:c r="B326" s="19" t="str">
        <x:v>Planned rollout. Availability precision: Exact announcement day; future availability not established</x:v>
      </x:c>
      <x:c r="C326" s="19" t="str">
        <x:v>PowerPoint Live</x:v>
      </x:c>
      <x:c r="D326" s="19" t="str">
        <x:v>Slide-text explanations for attendees</x:v>
      </x:c>
      <x:c r="E326" s="19" t="str">
        <x:v>Attendees can ask Copilot about selected presentation text during a meeting.</x:v>
      </x:c>
      <x:c r="F326" s="23" t="str">
        <x:v>Medium</x:v>
      </x:c>
      <x:c r="G326" s="19" t="str">
        <x:v>Clarify a technical term privately during a briefing.</x:v>
      </x:c>
      <x:c r="H326" s="19" t="str">
        <x:v>Supports comprehension without interrupting the presenter.</x:v>
      </x:c>
      <x:c r="I326" s="19" t="str">
        <x:v>Planned rollout</x:v>
      </x:c>
      <x:c r="J326" s="19" t="str">
        <x:v>Not specified in dated announcement; verify tenant entitlement
Platform/region not specified
Planned rollout. Platform/region not specified. Not specified in dated announcement; verify tenant entitlement.</x:v>
      </x:c>
      <x:c r="K326" s="19" t="str">
        <x:v>2026-06</x:v>
      </x:c>
      <x:c r="L326"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6" s="25"/>
      <x:c r="N326" s="20" t="d">
        <x:v>2026-05-29T00:00:00.000Z</x:v>
      </x:c>
      <x:c r="O326" s="20" t="d">
        <x:v>2026-10-16T00:00:00.000Z</x:v>
      </x:c>
      <x:c r="P326" s="24" t="str">
        <x:v>COP-3F01638028</x:v>
      </x:c>
      <x:c r="Q326" s="19" t="str">
        <x:v>Planned rollout</x:v>
      </x:c>
      <x:c r="R326" s="19" t="str">
        <x:v>Checked 2026-10-16. Availability is the historical state stated by this source, not proof of availability for every tenant today. Monthly recaps are editable and state dates are tentative. </x:v>
      </x:c>
      <x:c r="S326" s="19" t="str"/>
      <x:c r="T326" s="19" t="str"/>
      <x:c r="U326" s="20" t="d">
        <x:v>2026-05-29T00:00:00.000Z</x:v>
      </x:c>
    </x:row>
    <x:row r="327" ht="85" customHeight="1">
      <x:c r="A327" s="21" t="d">
        <x:v>2026-05-29T00:00:00.000Z</x:v>
      </x:c>
      <x:c r="B327" s="19" t="str">
        <x:v>Release-note report date. Reported rollout. Availability precision: Exact announcement day; availability month or window only</x:v>
      </x:c>
      <x:c r="C327" s="19" t="str">
        <x:v>SharePoint</x:v>
      </x:c>
      <x:c r="D327" s="19" t="str">
        <x:v>Reusable custom Copilot skills</x:v>
      </x:c>
      <x:c r="E327" s="19" t="str">
        <x:v>Save site-specific instructions for repeatable multi-step work.</x:v>
      </x:c>
      <x:c r="F327" s="23" t="str">
        <x:v>High</x:v>
      </x:c>
      <x:c r="G327" s="19" t="str">
        <x:v>Apply a consistent document-review checklist across a project site.</x:v>
      </x:c>
      <x:c r="H327" s="19" t="str">
        <x:v>Turns recurring team standards into reusable assistance.</x:v>
      </x:c>
      <x:c r="I327" s="19" t="str">
        <x:v>Reported rollout</x:v>
      </x:c>
      <x:c r="J327" s="19" t="str">
        <x:v>Not specified in dated announcement; verify tenant entitlement
Platform/region not specified
Reported rollout. Platform/region not specified. Not specified in dated announcement; verify tenant entitlement.</x:v>
      </x:c>
      <x:c r="K327" s="19" t="str">
        <x:v>2026-05</x:v>
      </x:c>
      <x:c r="L327"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7" s="25" t="str"/>
      <x:c r="N327" s="20" t="d">
        <x:v>2026-05-29T00:00:00.000Z</x:v>
      </x:c>
      <x:c r="O327" s="20" t="d">
        <x:v>2026-10-16T00:00:00.000Z</x:v>
      </x:c>
      <x:c r="P327" s="24" t="str">
        <x:v>COP-ED670184AD</x:v>
      </x:c>
      <x:c r="Q327" s="19" t="str">
        <x:v>Reported rollout</x:v>
      </x:c>
      <x:c r="R327" s="19" t="str">
        <x:v>Checked 2026-10-16. Availability is the historical state stated by this source, not proof of availability for every tenant today. Monthly recaps are editable and state dates are tentative. </x:v>
      </x:c>
      <x:c r="S327" s="19" t="str"/>
      <x:c r="T327" s="19" t="str"/>
      <x:c r="U327" s="20" t="d">
        <x:v>2026-05-29T00:00:00.000Z</x:v>
      </x:c>
    </x:row>
    <x:row r="328" ht="100" customHeight="1">
      <x:c r="A328" s="21" t="d">
        <x:v>2026-05-29T00:00:00.000Z</x:v>
      </x:c>
      <x:c r="B328" s="19" t="str">
        <x:v>Planned Frontier preview. Availability precision: Exact announcement day; future availability not established</x:v>
      </x:c>
      <x:c r="C328" s="19" t="str">
        <x:v>Teams</x:v>
      </x:c>
      <x:c r="D328" s="19" t="str">
        <x:v>Copilot call delegation preview</x:v>
      </x:c>
      <x:c r="E328" s="19" t="str">
        <x:v>Copilot can answer incoming calls, capture intent and arrange follow-up bookings.</x:v>
      </x:c>
      <x:c r="F328" s="23" t="str">
        <x:v>High</x:v>
      </x:c>
      <x:c r="G328" s="19" t="str">
        <x:v>Capture caller details when a team member cannot answer.</x:v>
      </x:c>
      <x:c r="H328" s="19" t="str">
        <x:v>Captures call context and follow-up opportunities when a person cannot answer.</x:v>
      </x:c>
      <x:c r="I328" s="19" t="str">
        <x:v>Planned Frontier preview</x:v>
      </x:c>
      <x:c r="J328" s="19" t="str">
        <x:v>Not specified in dated announcement; verify tenant entitlement
Teams Phone; Bookings for follow-up scheduling
Planned Frontier preview. Teams Phone; Bookings for follow-up scheduling. Not specified in dated announcement; verify tenant entitlement.</x:v>
      </x:c>
      <x:c r="K328" s="19" t="str">
        <x:v>2026-06</x:v>
      </x:c>
      <x:c r="L328"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8" s="25" t="str"/>
      <x:c r="N328" s="20" t="d">
        <x:v>2026-05-29T00:00:00.000Z</x:v>
      </x:c>
      <x:c r="O328" s="20" t="d">
        <x:v>2026-10-16T00:00:00.000Z</x:v>
      </x:c>
      <x:c r="P328" s="24" t="str">
        <x:v>COP-0966AFB09F</x:v>
      </x:c>
      <x:c r="Q328" s="19" t="str">
        <x:v>Planned Frontier preview</x:v>
      </x:c>
      <x:c r="R328" s="19" t="str">
        <x:v>Checked 2026-10-16. Availability is the historical state stated by this source, not proof of availability for every tenant today. Monthly recaps are editable and state dates are tentative. April recap forecast May; May recap instead specifies Frontier in June. Treat later, narrower preview statement as governing.</x:v>
      </x:c>
      <x:c r="S328" s="19" t="str"/>
      <x:c r="T328" s="19" t="str"/>
      <x:c r="U328" s="20" t="d">
        <x:v>2026-05-29T00:00:00.000Z</x:v>
      </x:c>
    </x:row>
    <x:row r="329" ht="85" customHeight="1">
      <x:c r="A329" s="21" t="d">
        <x:v>2026-05-29T00:00:00.000Z</x:v>
      </x:c>
      <x:c r="B329" s="19" t="str">
        <x:v>Release-note report date. Reported rollout. Availability precision: Exact announcement day; availability month or window only</x:v>
      </x:c>
      <x:c r="C329" s="19" t="str">
        <x:v>Teams</x:v>
      </x:c>
      <x:c r="D329" s="19" t="str">
        <x:v>Delete meeting recap artifacts</x:v>
      </x:c>
      <x:c r="E329" s="19" t="str">
        <x:v>Organizers gain a recap action to remove recordings, transcripts and AI recap material.</x:v>
      </x:c>
      <x:c r="F329" s="23" t="str">
        <x:v>Medium</x:v>
      </x:c>
      <x:c r="G329" s="19" t="str">
        <x:v>Review retention needs before deleting a meeting’s generated recap material.</x:v>
      </x:c>
      <x:c r="H329" s="19" t="str">
        <x:v>Introduces an important lifecycle action for sensitive meeting artifacts.</x:v>
      </x:c>
      <x:c r="I329" s="19" t="str">
        <x:v>Reported rollout</x:v>
      </x:c>
      <x:c r="J329" s="19" t="str">
        <x:v>Not specified in dated announcement; verify tenant entitlement
Platform/region not specified
Reported rollout. Platform/region not specified. Not specified in dated announcement; verify tenant entitlement.</x:v>
      </x:c>
      <x:c r="K329" s="19" t="str">
        <x:v>2026-05</x:v>
      </x:c>
      <x:c r="L329"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29" s="25" t="str"/>
      <x:c r="N329" s="20" t="d">
        <x:v>2026-05-29T00:00:00.000Z</x:v>
      </x:c>
      <x:c r="O329" s="20" t="d">
        <x:v>2026-10-16T00:00:00.000Z</x:v>
      </x:c>
      <x:c r="P329" s="24" t="str">
        <x:v>COP-7C6D372505</x:v>
      </x:c>
      <x:c r="Q329" s="19" t="str">
        <x:v>Reported rollout</x:v>
      </x:c>
      <x:c r="R329" s="19" t="str">
        <x:v>Checked 2026-10-16. Availability is the historical state stated by this source, not proof of availability for every tenant today. Monthly recaps are editable and state dates are tentative. Shared files remain in their existing storage; permanent deletion is consequential.</x:v>
      </x:c>
      <x:c r="S329" s="19" t="str"/>
      <x:c r="T329" s="19" t="str"/>
      <x:c r="U329" s="20" t="d">
        <x:v>2026-05-29T00:00:00.000Z</x:v>
      </x:c>
    </x:row>
    <x:row r="330" ht="85" customHeight="1">
      <x:c r="A330" s="21" t="d">
        <x:v>2026-05-29T00:00:00.000Z</x:v>
      </x:c>
      <x:c r="B330" s="19" t="str">
        <x:v>Release-note report date. Reported rollout. Availability precision: Exact announcement day; availability month or window only</x:v>
      </x:c>
      <x:c r="C330" s="19" t="str">
        <x:v>Teams</x:v>
      </x:c>
      <x:c r="D330" s="19" t="str">
        <x:v>Video meeting recap</x:v>
      </x:c>
      <x:c r="E330" s="19" t="str">
        <x:v>Produce narrated highlight videos from recorded meetings.</x:v>
      </x:c>
      <x:c r="F330" s="23" t="str">
        <x:v>High</x:v>
      </x:c>
      <x:c r="G330" s="19" t="str">
        <x:v>Review a condensed meeting with relevant shared visuals.</x:v>
      </x:c>
      <x:c r="H330" s="19" t="str">
        <x:v>Offers a shorter visual catch-up route for decision-heavy meetings.</x:v>
      </x:c>
      <x:c r="I330" s="19" t="str">
        <x:v>Reported rollout</x:v>
      </x:c>
      <x:c r="J330" s="19" t="str">
        <x:v>Not specified in dated announcement; verify tenant entitlement
Platform/region not specified
Reported rollout. Platform/region not specified. Not specified in dated announcement; verify tenant entitlement.</x:v>
      </x:c>
      <x:c r="K330" s="19" t="str">
        <x:v>2026-04</x:v>
      </x:c>
      <x:c r="L330"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30" s="25"/>
      <x:c r="N330" s="20" t="d">
        <x:v>2026-05-29T00:00:00.000Z</x:v>
      </x:c>
      <x:c r="O330" s="20" t="d">
        <x:v>2026-10-16T00:00:00.000Z</x:v>
      </x:c>
      <x:c r="P330" s="24" t="str">
        <x:v>COP-619B883A69</x:v>
      </x:c>
      <x:c r="Q330" s="19" t="str">
        <x:v>Reported rollout</x:v>
      </x:c>
      <x:c r="R330" s="19" t="str">
        <x:v>Checked 2026-10-16. Availability is the historical state stated by this source, not proof of availability for every tenant today. Monthly recaps are editable and state dates are tentative. April month overlaps scope boundary; exact day unknown.</x:v>
      </x:c>
      <x:c r="S330" s="19" t="str"/>
      <x:c r="T330" s="19"/>
      <x:c r="U330" s="20" t="d">
        <x:v>2026-05-29T00:00:00.000Z</x:v>
      </x:c>
    </x:row>
    <x:row r="331" ht="85" customHeight="1">
      <x:c r="A331" s="21" t="d">
        <x:v>2026-05-29T00:00:00.000Z</x:v>
      </x:c>
      <x:c r="B331" s="19" t="str">
        <x:v>Release-note report date. Reported rollout. Availability precision: Exact announcement day; availability month or window only</x:v>
      </x:c>
      <x:c r="C331" s="19" t="str">
        <x:v>Word</x:v>
      </x:c>
      <x:c r="D331" s="19" t="str">
        <x:v>In-flow writing suggestions</x:v>
      </x:c>
      <x:c r="E331" s="19" t="str">
        <x:v>Offer recommendations for wording and structure during composition.</x:v>
      </x:c>
      <x:c r="F331" s="23" t="str">
        <x:v>Medium</x:v>
      </x:c>
      <x:c r="G331" s="19" t="str">
        <x:v>Improve the clarity of a report while drafting it.</x:v>
      </x:c>
      <x:c r="H331" s="19" t="str">
        <x:v>Moves editorial feedback into the writing workflow.</x:v>
      </x:c>
      <x:c r="I331" s="19" t="str">
        <x:v>Reported rollout</x:v>
      </x:c>
      <x:c r="J331" s="19" t="str">
        <x:v>Not specified in dated announcement; verify tenant entitlement
Web
Reported rollout. Web. Not specified in dated announcement; verify tenant entitlement.</x:v>
      </x:c>
      <x:c r="K331" s="19" t="str">
        <x:v>2026-05</x:v>
      </x:c>
      <x:c r="L331"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31" s="25"/>
      <x:c r="N331" s="20" t="d">
        <x:v>2026-05-29T00:00:00.000Z</x:v>
      </x:c>
      <x:c r="O331" s="20" t="d">
        <x:v>2026-10-16T00:00:00.000Z</x:v>
      </x:c>
      <x:c r="P331" s="24" t="str">
        <x:v>COP-C7EC99862A</x:v>
      </x:c>
      <x:c r="Q331" s="19" t="str">
        <x:v>Reported rollout</x:v>
      </x:c>
      <x:c r="R331" s="19" t="str">
        <x:v>Checked 2026-10-16. Availability is the historical state stated by this source, not proof of availability for every tenant today. Monthly recaps are editable and state dates are tentative. </x:v>
      </x:c>
      <x:c r="S331" s="19" t="str"/>
      <x:c r="T331" s="19"/>
      <x:c r="U331" s="20" t="d">
        <x:v>2026-05-29T00:00:00.000Z</x:v>
      </x:c>
    </x:row>
    <x:row r="332" ht="85" customHeight="1">
      <x:c r="A332" s="21" t="d">
        <x:v>2026-05-29T00:00:00.000Z</x:v>
      </x:c>
      <x:c r="B332" s="19" t="str">
        <x:v>Release-note report date. Reported rollout. Availability precision: Exact announcement day; availability month or window only</x:v>
      </x:c>
      <x:c r="C332" s="19" t="str">
        <x:v>Word</x:v>
      </x:c>
      <x:c r="D332" s="19" t="str">
        <x:v>Memory-based personalization</x:v>
      </x:c>
      <x:c r="E332" s="19" t="str">
        <x:v>Use relevant prior context to tailor Word Copilot responses.</x:v>
      </x:c>
      <x:c r="F332" s="23" t="str">
        <x:v>Medium</x:v>
      </x:c>
      <x:c r="G332" s="19" t="str">
        <x:v>Maintain consistent drafting preferences across writing sessions.</x:v>
      </x:c>
      <x:c r="H332" s="19" t="str">
        <x:v>Reduces repeated explanation of preferences during writing work.</x:v>
      </x:c>
      <x:c r="I332" s="19" t="str">
        <x:v>Reported rollout</x:v>
      </x:c>
      <x:c r="J332" s="19" t="str">
        <x:v>Not specified in dated announcement; verify tenant entitlement
Platform/region not specified
Reported rollout. Platform/region not specified. Not specified in dated announcement; verify tenant entitlement.</x:v>
      </x:c>
      <x:c r="K332" s="19" t="str">
        <x:v>2026-05</x:v>
      </x:c>
      <x:c r="L332"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32" s="25"/>
      <x:c r="N332" s="20" t="d">
        <x:v>2026-05-29T00:00:00.000Z</x:v>
      </x:c>
      <x:c r="O332" s="20" t="d">
        <x:v>2026-10-16T00:00:00.000Z</x:v>
      </x:c>
      <x:c r="P332" s="24" t="str">
        <x:v>COP-D30AF3D9EA</x:v>
      </x:c>
      <x:c r="Q332" s="19" t="str">
        <x:v>Reported rollout</x:v>
      </x:c>
      <x:c r="R332" s="19" t="str">
        <x:v>Checked 2026-10-16. Availability is the historical state stated by this source, not proof of availability for every tenant today. Monthly recaps are editable and state dates are tentative. </x:v>
      </x:c>
      <x:c r="S332" s="19" t="str"/>
      <x:c r="T332" s="19"/>
      <x:c r="U332" s="20" t="d">
        <x:v>2026-05-29T00:00:00.000Z</x:v>
      </x:c>
    </x:row>
    <x:row r="333" ht="85" customHeight="1">
      <x:c r="A333" s="21" t="d">
        <x:v>2026-05-29T00:00:00.000Z</x:v>
      </x:c>
      <x:c r="B333" s="19" t="str">
        <x:v>Release-note report date. Reported rollout. Availability precision: Exact announcement day; availability month or window only</x:v>
      </x:c>
      <x:c r="C333" s="19" t="str">
        <x:v>Word</x:v>
      </x:c>
      <x:c r="D333" s="19" t="str">
        <x:v>Personalized document insights</x:v>
      </x:c>
      <x:c r="E333" s="19" t="str">
        <x:v>Surface user-relevant information at the document’s top.</x:v>
      </x:c>
      <x:c r="F333" s="23" t="str">
        <x:v>Low</x:v>
      </x:c>
      <x:c r="G333" s="19" t="str">
        <x:v>Locate the parts of a shared document most relevant to a review.</x:v>
      </x:c>
      <x:c r="H333" s="19" t="str">
        <x:v>Improves discovery of relevant content rather than authoring scope.</x:v>
      </x:c>
      <x:c r="I333" s="19" t="str">
        <x:v>Reported rollout</x:v>
      </x:c>
      <x:c r="J333" s="19" t="str">
        <x:v>Not specified in dated announcement; verify tenant entitlement
Platform/region not specified
Reported rollout. Platform/region not specified. Not specified in dated announcement; verify tenant entitlement.</x:v>
      </x:c>
      <x:c r="K333" s="19" t="str">
        <x:v>2026-05</x:v>
      </x:c>
      <x:c r="L333"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33" s="25" t="str"/>
      <x:c r="N333" s="20" t="d">
        <x:v>2026-05-29T00:00:00.000Z</x:v>
      </x:c>
      <x:c r="O333" s="20" t="d">
        <x:v>2026-10-16T00:00:00.000Z</x:v>
      </x:c>
      <x:c r="P333" s="24" t="str">
        <x:v>COP-8D7F0506FE</x:v>
      </x:c>
      <x:c r="Q333" s="19" t="str">
        <x:v>Reported rollout</x:v>
      </x:c>
      <x:c r="R333" s="19" t="str">
        <x:v>Checked 2026-10-16. Availability is the historical state stated by this source, not proof of availability for every tenant today. Monthly recaps are editable and state dates are tentative. </x:v>
      </x:c>
      <x:c r="S333" s="19" t="str"/>
      <x:c r="T333" s="19" t="str"/>
      <x:c r="U333" s="20" t="d">
        <x:v>2026-05-29T00:00:00.000Z</x:v>
      </x:c>
    </x:row>
    <x:row r="334" ht="85" customHeight="1">
      <x:c r="A334" s="21" t="d">
        <x:v>2026-05-29T00:00:00.000Z</x:v>
      </x:c>
      <x:c r="B334" s="19" t="str">
        <x:v>Release-note report date. Reported rollout. Availability precision: Exact announcement day; availability month or window only</x:v>
      </x:c>
      <x:c r="C334" s="19" t="str">
        <x:v>Word</x:v>
      </x:c>
      <x:c r="D334" s="19" t="str">
        <x:v>Recent document activity summary</x:v>
      </x:c>
      <x:c r="E334" s="19" t="str">
        <x:v>Summarize recent edits and comments in the Copilot pane.</x:v>
      </x:c>
      <x:c r="F334" s="23" t="str">
        <x:v>Medium</x:v>
      </x:c>
      <x:c r="G334" s="19" t="str">
        <x:v>Catch up before continuing a shared proposal.</x:v>
      </x:c>
      <x:c r="H334" s="19" t="str">
        <x:v>Reduces time needed to reorient in actively edited documents.</x:v>
      </x:c>
      <x:c r="I334" s="19" t="str">
        <x:v>Reported rollout</x:v>
      </x:c>
      <x:c r="J334" s="19" t="str">
        <x:v>Not specified in dated announcement; verify tenant entitlement
Platform/region not specified
Reported rollout. Platform/region not specified. Not specified in dated announcement; verify tenant entitlement.</x:v>
      </x:c>
      <x:c r="K334" s="19" t="str">
        <x:v>2026-05</x:v>
      </x:c>
      <x:c r="L334" s="25" t="str">
        <x:f>IFERROR(HYPERLINK("https://techcommunity.microsoft.com/blog/microsoft-copilot-blog/what%E2%80%99s-new-in-microsoft-365-copilot--may-2026/4522010","What’s New in Microsoft 365 Copilot | May 2026"),"What’s New in Microsoft 365 Copilot | May 2026")</x:f>
        <x:v>What’s New in Microsoft 365 Copilot | May 2026</x:v>
      </x:c>
      <x:c r="M334" s="25" t="str"/>
      <x:c r="N334" s="20" t="d">
        <x:v>2026-05-29T00:00:00.000Z</x:v>
      </x:c>
      <x:c r="O334" s="20" t="d">
        <x:v>2026-10-16T00:00:00.000Z</x:v>
      </x:c>
      <x:c r="P334" s="24" t="str">
        <x:v>COP-510F658A8F</x:v>
      </x:c>
      <x:c r="Q334" s="19" t="str">
        <x:v>Reported rollout</x:v>
      </x:c>
      <x:c r="R334" s="19" t="str">
        <x:v>Checked 2026-10-16. Availability is the historical state stated by this source, not proof of availability for every tenant today. Monthly recaps are editable and state dates are tentative. </x:v>
      </x:c>
      <x:c r="S334" s="19" t="str"/>
      <x:c r="T334" s="19" t="str"/>
      <x:c r="U334" s="20" t="d">
        <x:v>2026-05-29T00:00:00.000Z</x:v>
      </x:c>
    </x:row>
    <x:row r="335" ht="100" customHeight="1">
      <x:c r="A335" s="21" t="d">
        <x:v>2026-05-28T00:00:00.000Z</x:v>
      </x:c>
      <x:c r="B335" s="19" t="str">
        <x:v>Available in Frontier; broader rollout. Availability precision: Exact announcement day; exact stated availability day</x:v>
      </x:c>
      <x:c r="C335" s="19" t="str">
        <x:v>Microsoft 365 Copilot / Cowork</x:v>
      </x:c>
      <x:c r="D335" s="19" t="str">
        <x:v>Claude Opus 4.8 rollout</x:v>
      </x:c>
      <x:c r="E335" s="19" t="str">
        <x:v>Expand model choice with Opus 4.8 across supported Copilot workflows.</x:v>
      </x:c>
      <x:c r="F335" s="23" t="str">
        <x:v>High</x:v>
      </x:c>
      <x:c r="G335" s="19" t="str">
        <x:v>Evaluate output quality on an established analysis or presentation task.</x:v>
      </x:c>
      <x:c r="H335" s="19" t="str">
        <x:v>Changes an underlying model used for demanding cross-application work.</x:v>
      </x:c>
      <x:c r="I335" s="19" t="str">
        <x:v>Available in Frontier; broader rollout</x:v>
      </x:c>
      <x:c r="J335" s="19" t="str">
        <x:v>Microsoft 365 Copilot licensed users for stated app rollout
Cowork Frontier; Chat, Excel, PowerPoint rollout; Studio early-release
Available in Frontier; broader rollout. Cowork Frontier; Chat, Excel, PowerPoint rollout; Studio early-release. Microsoft 365 Copilot licensed users for stated app rollout.</x:v>
      </x:c>
      <x:c r="K335" s="19" t="str">
        <x:v>2026-05-28</x:v>
      </x:c>
      <x:c r="L335" s="25" t="str">
        <x:f>IFERROR(HYPERLINK("https://techcommunity.microsoft.com/blog/microsoft365copilotblog/available-today-anthropic-claude-opus-4-8-in-microsoft-365-copilot/4523405","Available today: Anthropic Claude Opus 4.8 in Microsoft 365 Copilot"),"Available today: Anthropic Claude Opus 4.8 in Microsoft 365 Copilot")</x:f>
        <x:v>Available today: Anthropic Claude Opus 4.8 in Microsoft 365 Copilot</x:v>
      </x:c>
      <x:c r="M335" s="25" t="str"/>
      <x:c r="N335" s="20" t="d">
        <x:v>2026-05-28T00:00:00.000Z</x:v>
      </x:c>
      <x:c r="O335" s="20" t="d">
        <x:v>2026-10-16T00:00:00.000Z</x:v>
      </x:c>
      <x:c r="P335" s="24" t="str">
        <x:v>COP-1EFD29A052</x:v>
      </x:c>
      <x:c r="Q335" s="19" t="str">
        <x:v>Available in Frontier; broader rollout</x:v>
      </x:c>
      <x:c r="R335" s="19" t="str">
        <x:v>Checked 2026-10-16. Availability is the historical state stated by this source, not proof of availability for every tenant today. </x:v>
      </x:c>
      <x:c r="S335" s="19" t="str"/>
      <x:c r="T335" s="19" t="str"/>
      <x:c r="U335" s="20" t="d">
        <x:v>2026-05-28T00:00:00.000Z</x:v>
      </x:c>
    </x:row>
    <x:row r="336" ht="85" customHeight="1">
      <x:c r="A336" s="21" t="d">
        <x:v>2026-05-19T00:00:00.000Z</x:v>
      </x:c>
      <x:c r="B336" s="19" t="str">
        <x:v>Release-note report date. Documented GA rollout. Availability precision: Release window; exact day unknown</x:v>
      </x:c>
      <x:c r="C336" s="19" t="str">
        <x:v>Microsoft 365 Copilot Chat</x:v>
      </x:c>
      <x:c r="D336" s="19" t="str">
        <x:v>Email context capture in Outlook chat</x:v>
      </x:c>
      <x:c r="E336" s="19" t="str">
        <x:v>Add selected emails or text to Copilot’s working context through Outlook interactions.</x:v>
      </x:c>
      <x:c r="F336" s="23" t="str">
        <x:v>Medium</x:v>
      </x:c>
      <x:c r="G336" s="19" t="str">
        <x:v>Ground a reply draft in the relevant thread without manual copying.</x:v>
      </x:c>
      <x:c r="H336" s="19" t="str">
        <x:v>Reduces manual transfer of email evidence into chat.</x:v>
      </x:c>
      <x:c r="I336" s="19" t="str">
        <x:v>GA feed; staged deployment</x:v>
      </x:c>
      <x:c r="J336" s="19" t="str">
        <x:v>Not specified in dated entry; verify tenant entitlement
Windows, Web
Gradual tenant rollout; exact per-user availability is not established. Licensing is not specified in this entry.</x:v>
      </x:c>
      <x:c r="K336" s="19" t="str">
        <x:v>2026-05-05 to 2026-05-19</x:v>
      </x:c>
      <x:c r="L336" s="25" t="str">
        <x:f>IFERROR(HYPERLINK("https://learn.microsoft.com/en-us/microsoft-365/copilot/release-notes#may-19-2026","Microsoft 365 Copilot release notes — May 19, 2026"),"Microsoft 365 Copilot release notes — May 19, 2026")</x:f>
        <x:v>Microsoft 365 Copilot release notes — May 19, 2026</x:v>
      </x:c>
      <x:c r="M336" s="25" t="str"/>
      <x:c r="N336" s="20" t="d">
        <x:v>2026-05-19T00:00:00.000Z</x:v>
      </x:c>
      <x:c r="O336" s="20" t="d">
        <x:v>2026-10-16T00:00:00.000Z</x:v>
      </x:c>
      <x:c r="P336" s="24" t="str">
        <x:v>COP-0391A3D640</x:v>
      </x:c>
      <x:c r="Q336" s="19" t="str">
        <x:v>Documented GA rollout</x:v>
      </x:c>
      <x:c r="R336" s="19" t="str">
        <x:v>Source is the official GA/Current Channel release-note feed, checked 2026-10-16. Header date is documentation date; actual release is only bounded by the stated window. Source has an unrelated connector paragraph under What changed; only the title, lead and Outlook examples were used.</x:v>
      </x:c>
      <x:c r="S336" s="19" t="str"/>
      <x:c r="T336" s="19" t="str"/>
      <x:c r="U336" s="20"/>
    </x:row>
    <x:row r="337" ht="85" customHeight="1">
      <x:c r="A337" s="21" t="d">
        <x:v>2026-05-19T00:00:00.000Z</x:v>
      </x:c>
      <x:c r="B337" s="19" t="str">
        <x:v>Release-note report date. Documented GA rollout. Availability precision: Release window; exact day unknown</x:v>
      </x:c>
      <x:c r="C337" s="19" t="str">
        <x:v>Microsoft 365 Copilot Chat</x:v>
      </x:c>
      <x:c r="D337" s="19" t="str">
        <x:v>PDF viewing inside Copilot Chat</x:v>
      </x:c>
      <x:c r="E337" s="19" t="str">
        <x:v>Read PDFs within the Copilot chat workspace.</x:v>
      </x:c>
      <x:c r="F337" s="23" t="str">
        <x:v>Medium</x:v>
      </x:c>
      <x:c r="G337" s="19" t="str">
        <x:v>Review a supplier specification and ask follow-up questions in one place.</x:v>
      </x:c>
      <x:c r="H337" s="19" t="str">
        <x:v>Reduces context switching during PDF-based research.</x:v>
      </x:c>
      <x:c r="I337" s="19" t="str">
        <x:v>GA feed; staged deployment</x:v>
      </x:c>
      <x:c r="J337" s="19" t="str">
        <x:v>Not specified in dated entry; verify tenant entitlement
Windows, Mac, Web
Gradual tenant rollout; exact per-user availability is not established. Licensing is not specified in this entry.</x:v>
      </x:c>
      <x:c r="K337" s="19" t="str">
        <x:v>2026-05-05 to 2026-05-19</x:v>
      </x:c>
      <x:c r="L337" s="25" t="str">
        <x:f>IFERROR(HYPERLINK("https://learn.microsoft.com/en-us/microsoft-365/copilot/release-notes#may-19-2026","Microsoft 365 Copilot release notes — May 19, 2026"),"Microsoft 365 Copilot release notes — May 19, 2026")</x:f>
        <x:v>Microsoft 365 Copilot release notes — May 19, 2026</x:v>
      </x:c>
      <x:c r="M337" s="25" t="str"/>
      <x:c r="N337" s="20" t="d">
        <x:v>2026-05-19T00:00:00.000Z</x:v>
      </x:c>
      <x:c r="O337" s="20" t="d">
        <x:v>2026-10-16T00:00:00.000Z</x:v>
      </x:c>
      <x:c r="P337" s="24" t="str">
        <x:v>COP-5922E71083</x:v>
      </x:c>
      <x:c r="Q337" s="19" t="str">
        <x:v>Documented GA rollout</x:v>
      </x:c>
      <x:c r="R337" s="19" t="str">
        <x:v>Source is the official GA/Current Channel release-note feed, checked 2026-10-16. Header date is documentation date; actual release is only bounded by the stated window.</x:v>
      </x:c>
      <x:c r="S337" s="19" t="str"/>
      <x:c r="T337" s="19" t="str"/>
      <x:c r="U337" s="20"/>
    </x:row>
    <x:row r="338" ht="100" customHeight="1">
      <x:c r="A338" s="21" t="d">
        <x:v>2026-05-19T00:00:00.000Z</x:v>
      </x:c>
      <x:c r="B338" s="19" t="str">
        <x:v>Release-note report date. Documented GA rollout. Availability precision: Release window; exact day unknown</x:v>
      </x:c>
      <x:c r="C338" s="19" t="str">
        <x:v>Microsoft 365 Copilot extensibility</x:v>
      </x:c>
      <x:c r="D338" s="19" t="str">
        <x:v>AI-provider access by user or group</x:v>
      </x:c>
      <x:c r="E338" s="19" t="str">
        <x:v>Administrators can scope model-provider access to selected users and groups.</x:v>
      </x:c>
      <x:c r="F338" s="23" t="str">
        <x:v>High</x:v>
      </x:c>
      <x:c r="G338" s="19" t="str">
        <x:v>Pilot an additional model provider with a defined evaluation group.</x:v>
      </x:c>
      <x:c r="H338" s="19" t="str">
        <x:v>Makes model-provider deployment controllable for selected groups.</x:v>
      </x:c>
      <x:c r="I338" s="19" t="str">
        <x:v>GA feed; staged deployment</x:v>
      </x:c>
      <x:c r="J338" s="19" t="str">
        <x:v>Not specified in dated entry; verify tenant entitlement
Web
Gradual tenant rollout; exact per-user availability is not established. Licensing is not specified in this entry. xAI applicability is described as US Copilot Studio opt-in; this is not proof of xAI availability in Copilot Chat.</x:v>
      </x:c>
      <x:c r="K338" s="19" t="str">
        <x:v>2026-05-05 to 2026-05-19</x:v>
      </x:c>
      <x:c r="L338" s="25" t="str">
        <x:f>IFERROR(HYPERLINK("https://learn.microsoft.com/en-us/microsoft-365/copilot/release-notes#may-19-2026","Microsoft 365 Copilot release notes — May 19, 2026"),"Microsoft 365 Copilot release notes — May 19, 2026")</x:f>
        <x:v>Microsoft 365 Copilot release notes — May 19, 2026</x:v>
      </x:c>
      <x:c r="M338" s="25" t="str">
        <x:f>IFERROR(HYPERLINK("https://learn.microsoft.com/en-us/microsoft-365/copilot/copilot-ai-provider-user-sec-group-access","Additional Microsoft source"),"Additional Microsoft source")</x:f>
        <x:v>Additional Microsoft source</x:v>
      </x:c>
      <x:c r="N338" s="20" t="d">
        <x:v>2026-05-19T00:00:00.000Z</x:v>
      </x:c>
      <x:c r="O338" s="20" t="d">
        <x:v>2026-10-16T00:00:00.000Z</x:v>
      </x:c>
      <x:c r="P338" s="24" t="str">
        <x:v>COP-4461C57581</x:v>
      </x:c>
      <x:c r="Q338" s="19" t="str">
        <x:v>Documented GA rollout</x:v>
      </x:c>
      <x:c r="R338" s="19" t="str">
        <x:v>Source is the official GA/Current Channel release-note feed, checked 2026-10-16. Header date is documentation date; actual release is only bounded by the stated window.</x:v>
      </x:c>
      <x:c r="S338" s="19" t="str"/>
      <x:c r="T338" s="19" t="str">
        <x:v>557371</x:v>
      </x:c>
      <x:c r="U338" s="20"/>
    </x:row>
    <x:row r="339" ht="85" customHeight="1">
      <x:c r="A339" s="21" t="d">
        <x:v>2026-05-19T00:00:00.000Z</x:v>
      </x:c>
      <x:c r="B339" s="19" t="str">
        <x:v>Release-note report date. Documented GA rollout. Availability precision: Release window; exact day unknown</x:v>
      </x:c>
      <x:c r="C339" s="19" t="str">
        <x:v>Microsoft 365 Copilot extensibility</x:v>
      </x:c>
      <x:c r="D339" s="19" t="str">
        <x:v>Richer custom-connector metadata</x:v>
      </x:c>
      <x:c r="E339" s="19" t="str">
        <x:v>Custom connectors gain configuration for icons, semantics, visibility and property descriptions.</x:v>
      </x:c>
      <x:c r="F339" s="23" t="str">
        <x:v>Medium</x:v>
      </x:c>
      <x:c r="G339" s="19" t="str">
        <x:v>Make internally connected records easier for users and Copilot to interpret.</x:v>
      </x:c>
      <x:c r="H339" s="19" t="str">
        <x:v>Improves how connected internal data is interpreted and presented.</x:v>
      </x:c>
      <x:c r="I339" s="19" t="str">
        <x:v>GA feed; staged deployment</x:v>
      </x:c>
      <x:c r="J339" s="19" t="str">
        <x:v>Not specified in dated entry; verify tenant entitlement
Web
Gradual tenant rollout; exact per-user availability is not established. Licensing is not specified in this entry.</x:v>
      </x:c>
      <x:c r="K339" s="19" t="str">
        <x:v>2026-05-05 to 2026-05-19</x:v>
      </x:c>
      <x:c r="L339" s="25" t="str">
        <x:f>IFERROR(HYPERLINK("https://learn.microsoft.com/en-us/microsoft-365/copilot/release-notes#may-19-2026","Microsoft 365 Copilot release notes — May 19, 2026"),"Microsoft 365 Copilot release notes — May 19, 2026")</x:f>
        <x:v>Microsoft 365 Copilot release notes — May 19, 2026</x:v>
      </x:c>
      <x:c r="M339" s="25" t="str">
        <x:f>IFERROR(HYPERLINK("https://learn.microsoft.com/en-us/graph/custom-connector-sdk-overview","Additional Microsoft source"),"Additional Microsoft source")</x:f>
        <x:v>Additional Microsoft source</x:v>
      </x:c>
      <x:c r="N339" s="20" t="d">
        <x:v>2026-05-19T00:00:00.000Z</x:v>
      </x:c>
      <x:c r="O339" s="20" t="d">
        <x:v>2026-10-16T00:00:00.000Z</x:v>
      </x:c>
      <x:c r="P339" s="24" t="str">
        <x:v>COP-DEA30767BA</x:v>
      </x:c>
      <x:c r="Q339" s="19" t="str">
        <x:v>Documented GA rollout</x:v>
      </x:c>
      <x:c r="R339" s="19" t="str">
        <x:v>Source is the official GA/Current Channel release-note feed, checked 2026-10-16. Header date is documentation date; actual release is only bounded by the stated window.</x:v>
      </x:c>
      <x:c r="S339" s="19" t="str"/>
      <x:c r="T339" s="19" t="str"/>
      <x:c r="U339" s="20"/>
    </x:row>
    <x:row r="340" ht="100" customHeight="1">
      <x:c r="A340" s="21" t="d">
        <x:v>2026-05-19T00:00:00.000Z</x:v>
      </x:c>
      <x:c r="B340" s="19" t="str">
        <x:v>Release-note report date. Documented GA rollout. Availability precision: Release window; exact day unknown</x:v>
      </x:c>
      <x:c r="C340" s="19" t="str">
        <x:v>OneDrive</x:v>
      </x:c>
      <x:c r="D340" s="19" t="str">
        <x:v>Suggested actions in file preview</x:v>
      </x:c>
      <x:c r="E340" s="19" t="str">
        <x:v>OneDrive preview offers ready-to-use Copilot prompts.</x:v>
      </x:c>
      <x:c r="F340" s="23" t="str">
        <x:v>Low</x:v>
      </x:c>
      <x:c r="G340" s="19" t="str">
        <x:v>Start a document summary without writing a custom prompt.</x:v>
      </x:c>
      <x:c r="H340" s="19" t="str">
        <x:v>Lowers the prompt-writing barrier for routine file analysis.</x:v>
      </x:c>
      <x:c r="I340" s="19" t="str">
        <x:v>GA feed; staged deployment</x:v>
      </x:c>
      <x:c r="J340" s="19" t="str">
        <x:v>Not specified in dated entry; verify tenant entitlement
Web
Gradual tenant rollout; exact per-user availability is not established. Licensing is not specified in this entry.</x:v>
      </x:c>
      <x:c r="K340" s="19" t="str">
        <x:v>2026-05-05 to 2026-05-19</x:v>
      </x:c>
      <x:c r="L340" s="25" t="str">
        <x:f>IFERROR(HYPERLINK("https://learn.microsoft.com/en-us/microsoft-365/copilot/release-notes#may-19-2026","Microsoft 365 Copilot release notes — May 19, 2026"),"Microsoft 365 Copilot release notes — May 19, 2026")</x:f>
        <x:v>Microsoft 365 Copilot release notes — May 19, 2026</x:v>
      </x:c>
      <x:c r="M340" s="25" t="str"/>
      <x:c r="N340" s="20" t="d">
        <x:v>2026-05-19T00:00:00.000Z</x:v>
      </x:c>
      <x:c r="O340" s="20" t="d">
        <x:v>2026-10-16T00:00:00.000Z</x:v>
      </x:c>
      <x:c r="P340" s="24" t="str">
        <x:v>COP-1184EE9A72</x:v>
      </x:c>
      <x:c r="Q340" s="19" t="str">
        <x:v>Documented GA rollout</x:v>
      </x:c>
      <x:c r="R340" s="19" t="str">
        <x:v>Source is the official GA/Current Channel release-note feed, checked 2026-10-16. Header date is documentation date; actual release is only bounded by the stated window. Earlier monthly announcements describe an earlier launch/preview or rollout month; this record preserves the later GA-feed documentation event.</x:v>
      </x:c>
      <x:c r="S340" s="19" t="str"/>
      <x:c r="T340" s="19" t="str"/>
      <x:c r="U340" s="20"/>
    </x:row>
    <x:row r="341" ht="85" customHeight="1">
      <x:c r="A341" s="21" t="d">
        <x:v>2026-05-19T00:00:00.000Z</x:v>
      </x:c>
      <x:c r="B341" s="19" t="str">
        <x:v>Release-note report date. Documented GA rollout. Availability precision: Release window; exact day unknown</x:v>
      </x:c>
      <x:c r="C341" s="19" t="str">
        <x:v>SharePoint</x:v>
      </x:c>
      <x:c r="D341" s="19" t="str">
        <x:v>SharePoint Admin Agent</x:v>
      </x:c>
      <x:c r="E341" s="19" t="str">
        <x:v>Use natural-language assistance to investigate tenant management questions.</x:v>
      </x:c>
      <x:c r="F341" s="23" t="str">
        <x:v>Medium</x:v>
      </x:c>
      <x:c r="G341" s="19" t="str">
        <x:v>Locate inactive sites or areas needing access review.</x:v>
      </x:c>
      <x:c r="H341" s="19" t="str">
        <x:v>Shortens discovery of tenant issues and management guidance.</x:v>
      </x:c>
      <x:c r="I341" s="19" t="str">
        <x:v>GA feed; staged deployment</x:v>
      </x:c>
      <x:c r="J341" s="19" t="str">
        <x:v>Not specified in dated entry; verify tenant entitlement
Web
Gradual tenant rollout; exact per-user availability is not established. Licensing is not specified in this entry.</x:v>
      </x:c>
      <x:c r="K341" s="19" t="str">
        <x:v>2026-05-05 to 2026-05-19</x:v>
      </x:c>
      <x:c r="L341" s="25" t="str">
        <x:f>IFERROR(HYPERLINK("https://learn.microsoft.com/en-us/microsoft-365/copilot/release-notes#may-19-2026","Microsoft 365 Copilot release notes — May 19, 2026"),"Microsoft 365 Copilot release notes — May 19, 2026")</x:f>
        <x:v>Microsoft 365 Copilot release notes — May 19, 2026</x:v>
      </x:c>
      <x:c r="M341" s="25" t="str"/>
      <x:c r="N341" s="20" t="d">
        <x:v>2026-05-19T00:00:00.000Z</x:v>
      </x:c>
      <x:c r="O341" s="20" t="d">
        <x:v>2026-10-16T00:00:00.000Z</x:v>
      </x:c>
      <x:c r="P341" s="24" t="str">
        <x:v>COP-4024F1EFA2</x:v>
      </x:c>
      <x:c r="Q341" s="19" t="str">
        <x:v>Documented GA rollout</x:v>
      </x:c>
      <x:c r="R341" s="19" t="str">
        <x:v>Source is the official GA/Current Channel release-note feed, checked 2026-10-16. Header date is documentation date; actual release is only bounded by the stated window.</x:v>
      </x:c>
      <x:c r="S341" s="19" t="str"/>
      <x:c r="T341" s="19" t="str"/>
      <x:c r="U341" s="20"/>
    </x:row>
    <x:row r="342" ht="100" customHeight="1">
      <x:c r="A342" s="21" t="d">
        <x:v>2026-05-07T00:00:00.000Z</x:v>
      </x:c>
      <x:c r="B342" s="19" t="str">
        <x:v>Rollout begins. Availability precision: Exact rollout start; completion unknown</x:v>
      </x:c>
      <x:c r="C342" s="19" t="str">
        <x:v>Microsoft 365 Copilot Chat</x:v>
      </x:c>
      <x:c r="D342" s="19" t="str">
        <x:v>GPT-5.5 Instant in Copilot Chat</x:v>
      </x:c>
      <x:c r="E342" s="19" t="str">
        <x:v>An updated fast-response model becomes available for everyday prompts.</x:v>
      </x:c>
      <x:c r="F342" s="23" t="str">
        <x:v>High</x:v>
      </x:c>
      <x:c r="G342" s="19" t="str">
        <x:v>Use concise responses for routine summaries, questions and first drafts.</x:v>
      </x:c>
      <x:c r="H342" s="19" t="str">
        <x:v>Affects response quality across high-frequency everyday questions.</x:v>
      </x:c>
      <x:c r="I342" s="19" t="str">
        <x:v>GA feed; staged deployment</x:v>
      </x:c>
      <x:c r="J342" s="19" t="str">
        <x:v>Priority access for Microsoft 365 Copilot; standard access for Copilot Chat users without that license
Android, Windows, iOS, Mac, Web
Staged rollout. Priority access for Microsoft 365 Copilot; standard access for Copilot Chat users without that license. Android, Windows, iOS, Mac, Web</x:v>
      </x:c>
      <x:c r="K342" s="19" t="str">
        <x:v>2026-05-07 rollout starts</x:v>
      </x:c>
      <x:c r="L342" s="25" t="str">
        <x:f>IFERROR(HYPERLINK("https://techcommunity.microsoft.com/blog/microsoft365copilotblog/available-today-gpt-5-5-instant-in-microsoft-365-copilot/4517084","Available today: GPT-5.5 Instant in Microsoft 365 Copilot"),"Available today: GPT-5.5 Instant in Microsoft 365 Copilot")</x:f>
        <x:v>Available today: GPT-5.5 Instant in Microsoft 365 Copilot</x:v>
      </x:c>
      <x:c r="M342" s="25" t="str"/>
      <x:c r="N342" s="20" t="d">
        <x:v>2026-05-07T00:00:00.000Z</x:v>
      </x:c>
      <x:c r="O342" s="20" t="d">
        <x:v>2026-10-16T00:00:00.000Z</x:v>
      </x:c>
      <x:c r="P342" s="24" t="str">
        <x:v>COP-07AD0E90AC</x:v>
      </x:c>
      <x:c r="Q342" s="19" t="str">
        <x:v>Rollout begins</x:v>
      </x:c>
      <x:c r="R342" s="19" t="str">
        <x:v>Dated launch announcement establishes rollout start; May 19 GA-feed entry corroborates subsequent availability. Exact completion by tenant is not known.</x:v>
      </x:c>
      <x:c r="S342" s="19" t="str"/>
      <x:c r="T342" s="19" t="str"/>
      <x:c r="U342" s="20" t="d">
        <x:v>2026-05-07T00:00:00.000Z</x:v>
      </x:c>
    </x:row>
    <x:row r="343" ht="85" customHeight="1">
      <x:c r="A343" s="21" t="d">
        <x:v>2026-05-05T00:00:00.000Z</x:v>
      </x:c>
      <x:c r="B343" s="19" t="str">
        <x:v>Release-note report date. Documented GA rollout. Availability precision: Release window; exact day unknown</x:v>
      </x:c>
      <x:c r="C343" s="19" t="str">
        <x:v>Microsoft 365 Copilot extensibility</x:v>
      </x:c>
      <x:c r="D343" s="19" t="str">
        <x:v>Page-summary nudges in Edge</x:v>
      </x:c>
      <x:c r="E343" s="19" t="str">
        <x:v>Browser prompts expose page summarization through Copilot Chat.</x:v>
      </x:c>
      <x:c r="F343" s="23" t="str">
        <x:v>Low</x:v>
      </x:c>
      <x:c r="G343" s="19" t="str">
        <x:v>Summarize a long reference page during desk research.</x:v>
      </x:c>
      <x:c r="H343" s="19" t="str">
        <x:v>Makes an existing web-summary capability easier to discover.</x:v>
      </x:c>
      <x:c r="I343" s="19" t="str">
        <x:v>GA feed; staged deployment</x:v>
      </x:c>
      <x:c r="J343" s="19" t="str">
        <x:v>Not specified in dated entry; verify tenant entitlement
Web
Gradual tenant rollout; exact per-user availability is not established. Licensing is not specified in this entry.</x:v>
      </x:c>
      <x:c r="K343" s="19" t="str">
        <x:v>2026-04-21 to 2026-05-05</x:v>
      </x:c>
      <x:c r="L343" s="25" t="str">
        <x:f>IFERROR(HYPERLINK("https://learn.microsoft.com/en-us/microsoft-365/copilot/release-notes#may-5-2026","Microsoft 365 Copilot release notes — May 5, 2026"),"Microsoft 365 Copilot release notes — May 5, 2026")</x:f>
        <x:v>Microsoft 365 Copilot release notes — May 5, 2026</x:v>
      </x:c>
      <x:c r="M343" s="25" t="str">
        <x:f>IFERROR(HYPERLINK("https://learn.microsoft.com/en-us/microsoft-365/copilot/connectors/postgresql-connector","Additional Microsoft source"),"Additional Microsoft source")</x:f>
        <x:v>Additional Microsoft source</x:v>
      </x:c>
      <x:c r="N343" s="20" t="d">
        <x:v>2026-05-05T00:00:00.000Z</x:v>
      </x:c>
      <x:c r="O343" s="20" t="d">
        <x:v>2026-10-16T00:00:00.000Z</x:v>
      </x:c>
      <x:c r="P343" s="24" t="str">
        <x:v>COP-81B815D238</x:v>
      </x:c>
      <x:c r="Q343" s="19" t="str">
        <x:v>Documented GA rollout</x:v>
      </x:c>
      <x:c r="R343" s="19" t="str">
        <x:v>Source is the official GA/Current Channel release-note feed, checked 2026-10-16. Header date is documentation date; actual release is only bounded by the stated window. Source’s PostgreSQL additional-resource link appears unrelated and was not used.</x:v>
      </x:c>
      <x:c r="S343" s="19" t="str"/>
      <x:c r="T343" s="19" t="str">
        <x:v>515167</x:v>
      </x:c>
      <x:c r="U343" s="20"/>
    </x:row>
    <x:row r="344" ht="85" customHeight="1">
      <x:c r="A344" s="21" t="d">
        <x:v>2026-05-05T00:00:00.000Z</x:v>
      </x:c>
      <x:c r="B344" s="19" t="str">
        <x:v>Release-note report date. Documented GA rollout. Availability precision: Release window; exact day unknown</x:v>
      </x:c>
      <x:c r="C344" s="19" t="str">
        <x:v>Viva Insights</x:v>
      </x:c>
      <x:c r="D344" s="19" t="str">
        <x:v>Broader Insights report recipients</x:v>
      </x:c>
      <x:c r="E344" s="19" t="str">
        <x:v>Publish Viva Insights Power BI reports beyond existing dashboard-access holders.</x:v>
      </x:c>
      <x:c r="F344" s="23" t="str">
        <x:v>Medium</x:v>
      </x:c>
      <x:c r="G344" s="19" t="str">
        <x:v>Share adoption analysis with relevant business leaders.</x:v>
      </x:c>
      <x:c r="H344" s="19" t="str">
        <x:v>Broadens access to adoption analysis for relevant decision-makers.</x:v>
      </x:c>
      <x:c r="I344" s="19" t="str">
        <x:v>GA feed; staged deployment</x:v>
      </x:c>
      <x:c r="J344" s="19" t="str">
        <x:v>Not specified in dated entry; verify tenant entitlement
Web
Gradual tenant rollout; exact per-user availability is not established. Licensing is not specified in this entry.</x:v>
      </x:c>
      <x:c r="K344" s="19" t="str">
        <x:v>2026-04-21 to 2026-05-05</x:v>
      </x:c>
      <x:c r="L344" s="25" t="str">
        <x:f>IFERROR(HYPERLINK("https://learn.microsoft.com/en-us/microsoft-365/copilot/release-notes#may-5-2026","Microsoft 365 Copilot release notes — May 5, 2026"),"Microsoft 365 Copilot release notes — May 5, 2026")</x:f>
        <x:v>Microsoft 365 Copilot release notes — May 5, 2026</x:v>
      </x:c>
      <x:c r="M344" s="25" t="str">
        <x:f>IFERROR(HYPERLINK("https://learn.microsoft.com/en-us/viva/insights/advanced/analyst/publish-reports","Additional Microsoft source"),"Additional Microsoft source")</x:f>
        <x:v>Additional Microsoft source</x:v>
      </x:c>
      <x:c r="N344" s="20" t="d">
        <x:v>2026-05-05T00:00:00.000Z</x:v>
      </x:c>
      <x:c r="O344" s="20" t="d">
        <x:v>2026-10-16T00:00:00.000Z</x:v>
      </x:c>
      <x:c r="P344" s="24" t="str">
        <x:v>COP-0CD6675ED4</x:v>
      </x:c>
      <x:c r="Q344" s="19" t="str">
        <x:v>Documented GA rollout</x:v>
      </x:c>
      <x:c r="R344" s="19" t="str">
        <x:v>Source is the official GA/Current Channel release-note feed, checked 2026-10-16. Header date is documentation date; actual release is only bounded by the stated window.</x:v>
      </x:c>
      <x:c r="S344" s="19" t="str"/>
      <x:c r="T344" s="19" t="str">
        <x:v>558257</x:v>
      </x:c>
      <x:c r="U344" s="20"/>
    </x:row>
    <x:row r="345" ht="85" customHeight="1">
      <x:c r="A345" s="21" t="d">
        <x:v>2026-05-05T00:00:00.000Z</x:v>
      </x:c>
      <x:c r="B345" s="19" t="str">
        <x:v>Release-note report date. Documented GA rollout. Availability precision: Release window; exact day unknown</x:v>
      </x:c>
      <x:c r="C345" s="19" t="str">
        <x:v>Viva Insights</x:v>
      </x:c>
      <x:c r="D345" s="19" t="str">
        <x:v>Copilot readiness recommendations</x:v>
      </x:c>
      <x:c r="E345" s="19" t="str">
        <x:v>The Readiness dashboard provides tailored configuration guidance.</x:v>
      </x:c>
      <x:c r="F345" s="23" t="str">
        <x:v>Medium</x:v>
      </x:c>
      <x:c r="G345" s="19" t="str">
        <x:v>Prioritize deployment setup work before expanding access.</x:v>
      </x:c>
      <x:c r="H345" s="19" t="str">
        <x:v>Helps prioritize configuration work before scaling a deployment.</x:v>
      </x:c>
      <x:c r="I345" s="19" t="str">
        <x:v>GA feed; staged deployment</x:v>
      </x:c>
      <x:c r="J345" s="19" t="str">
        <x:v>Not specified in dated entry; verify tenant entitlement
Web
Gradual tenant rollout; exact per-user availability is not established. Licensing is not specified in this entry.</x:v>
      </x:c>
      <x:c r="K345" s="19" t="str">
        <x:v>2026-04-21 to 2026-05-05</x:v>
      </x:c>
      <x:c r="L345" s="25" t="str">
        <x:f>IFERROR(HYPERLINK("https://learn.microsoft.com/en-us/microsoft-365/copilot/release-notes#may-5-2026","Microsoft 365 Copilot release notes — May 5, 2026"),"Microsoft 365 Copilot release notes — May 5, 2026")</x:f>
        <x:v>Microsoft 365 Copilot release notes — May 5, 2026</x:v>
      </x:c>
      <x:c r="M345" s="25" t="str">
        <x:f>IFERROR(HYPERLINK("https://learn.microsoft.com/en-us/viva/insights/org-team-insights/copilot-dashboard#readiness","Additional Microsoft source"),"Additional Microsoft source")</x:f>
        <x:v>Additional Microsoft source</x:v>
      </x:c>
      <x:c r="N345" s="20" t="d">
        <x:v>2026-05-05T00:00:00.000Z</x:v>
      </x:c>
      <x:c r="O345" s="20" t="d">
        <x:v>2026-10-16T00:00:00.000Z</x:v>
      </x:c>
      <x:c r="P345" s="24" t="str">
        <x:v>COP-9C46176798</x:v>
      </x:c>
      <x:c r="Q345" s="19" t="str">
        <x:v>Documented GA rollout</x:v>
      </x:c>
      <x:c r="R345" s="19" t="str">
        <x:v>Source is the official GA/Current Channel release-note feed, checked 2026-10-16. Header date is documentation date; actual release is only bounded by the stated window.</x:v>
      </x:c>
      <x:c r="S345" s="19" t="str"/>
      <x:c r="T345" s="19" t="str">
        <x:v>551196</x:v>
      </x:c>
      <x:c r="U345" s="20"/>
    </x:row>
    <x:row r="346" ht="85" customHeight="1">
      <x:c r="A346" s="21" t="d">
        <x:v>2026-04-30T00:00:00.000Z</x:v>
      </x:c>
      <x:c r="B346" s="19" t="str">
        <x:v>Planned public preview. Availability precision: Exact announcement day; future availability not established</x:v>
      </x:c>
      <x:c r="C346" s="19" t="str">
        <x:v>Copilot Dashboard</x:v>
      </x:c>
      <x:c r="D346" s="19" t="str">
        <x:v>Daily usage export</x:v>
      </x:c>
      <x:c r="E346" s="19" t="str">
        <x:v>Export de-identified usage at user/day granularity for the recent reporting window.</x:v>
      </x:c>
      <x:c r="F346" s="23" t="str">
        <x:v>Medium</x:v>
      </x:c>
      <x:c r="G346" s="19" t="str">
        <x:v>Compare engagement before and after a training campaign.</x:v>
      </x:c>
      <x:c r="H346" s="19" t="str">
        <x:v>Allows closer measurement of adoption interventions and license use.</x:v>
      </x:c>
      <x:c r="I346" s="19" t="str">
        <x:v>Planned public preview</x:v>
      </x:c>
      <x:c r="J346" s="19" t="str">
        <x:v>Not specified in dated announcement; verify tenant entitlement
Platform/region not specified
Planned public preview. Platform/region not specified. Not specified in dated announcement; verify tenant entitlement.</x:v>
      </x:c>
      <x:c r="K346" s="19" t="str">
        <x:v>2026-05</x:v>
      </x:c>
      <x:c r="L346"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46" s="25"/>
      <x:c r="N346" s="20" t="d">
        <x:v>2026-04-30T00:00:00.000Z</x:v>
      </x:c>
      <x:c r="O346" s="20" t="d">
        <x:v>2026-10-16T00:00:00.000Z</x:v>
      </x:c>
      <x:c r="P346" s="24" t="str">
        <x:v>COP-B44389EE99</x:v>
      </x:c>
      <x:c r="Q346" s="19" t="str">
        <x:v>Planned public preview</x:v>
      </x:c>
      <x:c r="R346" s="19" t="str">
        <x:v>Checked 2026-10-16. Availability is the historical state stated by this source, not proof of availability for every tenant today. Monthly recaps are editable and state dates are tentative. Recap says May public preview, August worldwide rollout; not GA in May.</x:v>
      </x:c>
      <x:c r="S346" s="19" t="str"/>
      <x:c r="T346" s="19" t="str"/>
      <x:c r="U346" s="20" t="d">
        <x:v>2026-04-30T00:00:00.000Z</x:v>
      </x:c>
    </x:row>
    <x:row r="347" ht="85" customHeight="1">
      <x:c r="A347" s="21" t="d">
        <x:v>2026-04-30T00:00:00.000Z</x:v>
      </x:c>
      <x:c r="B347" s="19" t="str">
        <x:v>Planned rollout. Availability precision: Exact announcement day; future availability not established</x:v>
      </x:c>
      <x:c r="C347" s="19" t="str">
        <x:v>Copilot Dashboard</x:v>
      </x:c>
      <x:c r="D347" s="19" t="str">
        <x:v>Power-user adoption segments</x:v>
      </x:c>
      <x:c r="E347" s="19" t="str">
        <x:v>Classify usage patterns into engagement segments.</x:v>
      </x:c>
      <x:c r="F347" s="23" t="str">
        <x:v>Medium</x:v>
      </x:c>
      <x:c r="G347" s="19" t="str">
        <x:v>Recruit frequent users to demonstrate effective workflows.</x:v>
      </x:c>
      <x:c r="H347" s="19" t="str">
        <x:v>Helps target training and identify potential peer champions.</x:v>
      </x:c>
      <x:c r="I347" s="19" t="str">
        <x:v>Planned rollout</x:v>
      </x:c>
      <x:c r="J347" s="19" t="str">
        <x:v>Not specified in dated announcement; verify tenant entitlement
Platform/region not specified
Planned rollout. Platform/region not specified. Not specified in dated announcement; verify tenant entitlement.</x:v>
      </x:c>
      <x:c r="K347" s="19" t="str">
        <x:v>2026-05</x:v>
      </x:c>
      <x:c r="L347"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47" s="25" t="str"/>
      <x:c r="N347" s="20" t="d">
        <x:v>2026-04-30T00:00:00.000Z</x:v>
      </x:c>
      <x:c r="O347" s="20" t="d">
        <x:v>2026-10-16T00:00:00.000Z</x:v>
      </x:c>
      <x:c r="P347" s="24" t="str">
        <x:v>COP-3FD1E1D011</x:v>
      </x:c>
      <x:c r="Q347" s="19" t="str">
        <x:v>Planned rollout</x:v>
      </x:c>
      <x:c r="R347" s="19" t="str">
        <x:v>Checked 2026-10-16. Availability is the historical state stated by this source, not proof of availability for every tenant today. Monthly recaps are editable and state dates are tentative. </x:v>
      </x:c>
      <x:c r="S347" s="19" t="str"/>
      <x:c r="T347" s="19" t="str"/>
      <x:c r="U347" s="20" t="d">
        <x:v>2026-04-30T00:00:00.000Z</x:v>
      </x:c>
    </x:row>
    <x:row r="348" ht="100" customHeight="1">
      <x:c r="A348" s="21" t="d">
        <x:v>2026-04-30T00:00:00.000Z</x:v>
      </x:c>
      <x:c r="B348" s="19" t="str">
        <x:v>Planned rollout. Availability precision: Exact announcement day; future availability not established</x:v>
      </x:c>
      <x:c r="C348" s="19" t="str">
        <x:v>Copilot mobile app</x:v>
      </x:c>
      <x:c r="D348" s="19" t="str">
        <x:v>Chat-first mobile redesign</x:v>
      </x:c>
      <x:c r="E348" s="19" t="str">
        <x:v>A revised chat layout, prompt formatting and navigation reach the mobile app.</x:v>
      </x:c>
      <x:c r="F348" s="23" t="str">
        <x:v>Low</x:v>
      </x:c>
      <x:c r="G348" s="19" t="str">
        <x:v>Update mobile training screenshots and show the revised response controls.</x:v>
      </x:c>
      <x:c r="H348" s="19" t="str">
        <x:v>Changes how users navigate rather than the underlying work capability.</x:v>
      </x:c>
      <x:c r="I348" s="19" t="str">
        <x:v>Planned rollout</x:v>
      </x:c>
      <x:c r="J348" s="19" t="str">
        <x:v>Not specified in dated announcement; verify tenant entitlement
Mobile; exact platform distribution not specified
Planned rollout. Mobile; exact platform distribution not specified. Not specified in dated announcement; verify tenant entitlement.</x:v>
      </x:c>
      <x:c r="K348" s="19" t="str">
        <x:v>2026-05</x:v>
      </x:c>
      <x:c r="L348"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48" s="25"/>
      <x:c r="N348" s="20" t="d">
        <x:v>2026-04-30T00:00:00.000Z</x:v>
      </x:c>
      <x:c r="O348" s="20" t="d">
        <x:v>2026-10-16T00:00:00.000Z</x:v>
      </x:c>
      <x:c r="P348" s="24" t="str">
        <x:v>COP-F142037BC1</x:v>
      </x:c>
      <x:c r="Q348" s="19" t="str">
        <x:v>Planned rollout</x:v>
      </x:c>
      <x:c r="R348" s="19" t="str">
        <x:v>Checked 2026-10-16. Availability is the historical state stated by this source, not proof of availability for every tenant today. Monthly recaps are editable and state dates are tentative. </x:v>
      </x:c>
      <x:c r="S348" s="19" t="str"/>
      <x:c r="T348" s="19" t="str"/>
      <x:c r="U348" s="20" t="d">
        <x:v>2026-04-30T00:00:00.000Z</x:v>
      </x:c>
    </x:row>
    <x:row r="349" ht="85" customHeight="1">
      <x:c r="A349" s="21" t="d">
        <x:v>2026-04-30T00:00:00.000Z</x:v>
      </x:c>
      <x:c r="B349" s="19" t="str">
        <x:v>Planned rollout. Availability precision: Exact announcement day; future availability not established</x:v>
      </x:c>
      <x:c r="C349" s="19" t="str">
        <x:v>Copilot Notebooks</x:v>
      </x:c>
      <x:c r="D349" s="19" t="str">
        <x:v>Edit Pages through notebook chat</x:v>
      </x:c>
      <x:c r="E349" s="19" t="str">
        <x:v>Describe changes in chat to create or revise notebook Pages.</x:v>
      </x:c>
      <x:c r="F349" s="23" t="str">
        <x:v>High</x:v>
      </x:c>
      <x:c r="G349" s="19" t="str">
        <x:v>Ask Copilot to reorganize workshop notes into decisions and actions.</x:v>
      </x:c>
      <x:c r="H349" s="19" t="str">
        <x:v>Cuts manual restructuring when notebook material becomes a deliverable.</x:v>
      </x:c>
      <x:c r="I349" s="19" t="str">
        <x:v>Planned rollout</x:v>
      </x:c>
      <x:c r="J349" s="19" t="str">
        <x:v>Not specified in dated announcement; verify tenant entitlement
Platform/region not specified
Planned rollout. Platform/region not specified. Not specified in dated announcement; verify tenant entitlement.</x:v>
      </x:c>
      <x:c r="K349" s="19" t="str">
        <x:v>2026-05</x:v>
      </x:c>
      <x:c r="L349"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49" s="25" t="str"/>
      <x:c r="N349" s="20" t="d">
        <x:v>2026-04-30T00:00:00.000Z</x:v>
      </x:c>
      <x:c r="O349" s="20" t="d">
        <x:v>2026-10-16T00:00:00.000Z</x:v>
      </x:c>
      <x:c r="P349" s="24" t="str">
        <x:v>COP-BB2395375C</x:v>
      </x:c>
      <x:c r="Q349" s="19" t="str">
        <x:v>Planned rollout</x:v>
      </x:c>
      <x:c r="R349" s="19" t="str">
        <x:v>Checked 2026-10-16. Availability is the historical state stated by this source, not proof of availability for every tenant today. Monthly recaps are editable and state dates are tentative. </x:v>
      </x:c>
      <x:c r="S349" s="19" t="str"/>
      <x:c r="T349" s="19" t="str"/>
      <x:c r="U349" s="20" t="d">
        <x:v>2026-04-30T00:00:00.000Z</x:v>
      </x:c>
    </x:row>
    <x:row r="350" ht="85" customHeight="1">
      <x:c r="A350" s="21" t="d">
        <x:v>2026-04-30T00:00:00.000Z</x:v>
      </x:c>
      <x:c r="B350" s="19" t="str">
        <x:v>Planned rollout. Availability precision: Exact announcement day; future availability not established</x:v>
      </x:c>
      <x:c r="C350" s="19" t="str">
        <x:v>Copilot Notebooks</x:v>
      </x:c>
      <x:c r="D350" s="19" t="str">
        <x:v>External website references</x:v>
      </x:c>
      <x:c r="E350" s="19" t="str">
        <x:v>Use external page URLs as notebook reference sources.</x:v>
      </x:c>
      <x:c r="F350" s="23" t="str">
        <x:v>High</x:v>
      </x:c>
      <x:c r="G350" s="19" t="str">
        <x:v>Combine supplier websites with an internal evaluation brief.</x:v>
      </x:c>
      <x:c r="H350" s="19" t="str">
        <x:v>Brings external research into a persistent project context.</x:v>
      </x:c>
      <x:c r="I350" s="19" t="str">
        <x:v>Planned rollout</x:v>
      </x:c>
      <x:c r="J350" s="19" t="str">
        <x:v>Not specified in dated announcement; verify tenant entitlement
Platform/region not specified
Planned rollout. Platform/region not specified. Not specified in dated announcement; verify tenant entitlement.</x:v>
      </x:c>
      <x:c r="K350" s="19" t="str">
        <x:v>2026-05</x:v>
      </x:c>
      <x:c r="L350"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0" s="25" t="str"/>
      <x:c r="N350" s="20" t="d">
        <x:v>2026-04-30T00:00:00.000Z</x:v>
      </x:c>
      <x:c r="O350" s="20" t="d">
        <x:v>2026-10-16T00:00:00.000Z</x:v>
      </x:c>
      <x:c r="P350" s="24" t="str">
        <x:v>COP-BD1BC1BDB5</x:v>
      </x:c>
      <x:c r="Q350" s="19" t="str">
        <x:v>Planned rollout</x:v>
      </x:c>
      <x:c r="R350" s="19" t="str">
        <x:v>Checked 2026-10-16. Availability is the historical state stated by this source, not proof of availability for every tenant today. Monthly recaps are editable and state dates are tentative. </x:v>
      </x:c>
      <x:c r="S350" s="19" t="str"/>
      <x:c r="T350" s="19" t="str"/>
      <x:c r="U350" s="20" t="d">
        <x:v>2026-04-30T00:00:00.000Z</x:v>
      </x:c>
    </x:row>
    <x:row r="351" ht="85" customHeight="1">
      <x:c r="A351" s="21" t="d">
        <x:v>2026-04-30T00:00:00.000Z</x:v>
      </x:c>
      <x:c r="B351" s="19" t="str">
        <x:v>Release-note report date. Frontier preview. Availability precision: Exact announcement day; availability month or window only</x:v>
      </x:c>
      <x:c r="C351" s="19" t="str">
        <x:v>Copilot Notebooks</x:v>
      </x:c>
      <x:c r="D351" s="19" t="str">
        <x:v>Notebook sharing with Microsoft 365 Groups</x:v>
      </x:c>
      <x:c r="E351" s="19" t="str">
        <x:v>Share a notebook with a Microsoft 365 Group.</x:v>
      </x:c>
      <x:c r="F351" s="23" t="str">
        <x:v>Medium</x:v>
      </x:c>
      <x:c r="G351" s="19" t="str">
        <x:v>Give a project group access to shared research context.</x:v>
      </x:c>
      <x:c r="H351" s="19" t="str">
        <x:v>Simplifies distribution for an existing collaboration group.</x:v>
      </x:c>
      <x:c r="I351" s="19" t="str">
        <x:v>Frontier preview</x:v>
      </x:c>
      <x:c r="J351" s="19" t="str">
        <x:v>Not specified in dated announcement; verify tenant entitlement
Platform/region not specified
Frontier preview. Platform/region not specified. Not specified in dated announcement; verify tenant entitlement.</x:v>
      </x:c>
      <x:c r="K351" s="19" t="str">
        <x:v>2026-04 to 2026-05</x:v>
      </x:c>
      <x:c r="L351"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1" s="25" t="str"/>
      <x:c r="N351" s="20" t="d">
        <x:v>2026-04-30T00:00:00.000Z</x:v>
      </x:c>
      <x:c r="O351" s="20" t="d">
        <x:v>2026-10-16T00:00:00.000Z</x:v>
      </x:c>
      <x:c r="P351" s="24" t="str">
        <x:v>COP-1CC20717CD</x:v>
      </x:c>
      <x:c r="Q351" s="19" t="str">
        <x:v>Frontier preview</x:v>
      </x:c>
      <x:c r="R351" s="19" t="str">
        <x:v>Checked 2026-10-16. Availability is the historical state stated by this source, not proof of availability for every tenant today. Monthly recaps are editable and state dates are tentative. </x:v>
      </x:c>
      <x:c r="S351" s="19" t="str"/>
      <x:c r="T351" s="19" t="str"/>
      <x:c r="U351" s="20" t="d">
        <x:v>2026-04-30T00:00:00.000Z</x:v>
      </x:c>
    </x:row>
    <x:row r="352" ht="85" customHeight="1">
      <x:c r="A352" s="21" t="d">
        <x:v>2026-04-30T00:00:00.000Z</x:v>
      </x:c>
      <x:c r="B352" s="19" t="str">
        <x:v>Release-note report date. Frontier preview. Availability precision: Exact announcement day; availability month or window only</x:v>
      </x:c>
      <x:c r="C352" s="19" t="str">
        <x:v>Copilot Notebooks</x:v>
      </x:c>
      <x:c r="D352" s="19" t="str">
        <x:v>Notebook study tools</x:v>
      </x:c>
      <x:c r="E352" s="19" t="str">
        <x:v>Generate learning-oriented tools grounded in notebook material.</x:v>
      </x:c>
      <x:c r="F352" s="23" t="str">
        <x:v>Medium</x:v>
      </x:c>
      <x:c r="G352" s="19" t="str">
        <x:v>Use a policy notebook to prepare a staff-learning exercise.</x:v>
      </x:c>
      <x:c r="H352" s="19" t="str">
        <x:v>Supports structured learning from internal project knowledge.</x:v>
      </x:c>
      <x:c r="I352" s="19" t="str">
        <x:v>Frontier preview</x:v>
      </x:c>
      <x:c r="J352" s="19" t="str">
        <x:v>Not specified in dated announcement; verify tenant entitlement
Platform/region not specified
Frontier preview. Platform/region not specified. Not specified in dated announcement; verify tenant entitlement.</x:v>
      </x:c>
      <x:c r="K352" s="19" t="str">
        <x:v>2026-04 to 2026-05</x:v>
      </x:c>
      <x:c r="L352"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2" s="25" t="str"/>
      <x:c r="N352" s="20" t="d">
        <x:v>2026-04-30T00:00:00.000Z</x:v>
      </x:c>
      <x:c r="O352" s="20" t="d">
        <x:v>2026-10-16T00:00:00.000Z</x:v>
      </x:c>
      <x:c r="P352" s="24" t="str">
        <x:v>COP-3C149E6D67</x:v>
      </x:c>
      <x:c r="Q352" s="19" t="str">
        <x:v>Frontier preview</x:v>
      </x:c>
      <x:c r="R352" s="19" t="str">
        <x:v>Checked 2026-10-16. Availability is the historical state stated by this source, not proof of availability for every tenant today. Monthly recaps are editable and state dates are tentative. </x:v>
      </x:c>
      <x:c r="S352" s="19" t="str"/>
      <x:c r="T352" s="19" t="str"/>
      <x:c r="U352" s="20" t="d">
        <x:v>2026-04-30T00:00:00.000Z</x:v>
      </x:c>
    </x:row>
    <x:row r="353" ht="85" customHeight="1">
      <x:c r="A353" s="21" t="d">
        <x:v>2026-04-30T00:00:00.000Z</x:v>
      </x:c>
      <x:c r="B353" s="19" t="str">
        <x:v>Release-note report date. Frontier preview. Availability precision: Exact announcement day; availability month or window only</x:v>
      </x:c>
      <x:c r="C353" s="19" t="str">
        <x:v>Copilot Notebooks</x:v>
      </x:c>
      <x:c r="D353" s="19" t="str">
        <x:v>SharePoint and OneNote notebook references</x:v>
      </x:c>
      <x:c r="E353" s="19" t="str">
        <x:v>Frontier notebooks can reference SharePoint content and OneNote notebooks.</x:v>
      </x:c>
      <x:c r="F353" s="23" t="str">
        <x:v>High</x:v>
      </x:c>
      <x:c r="G353" s="19" t="str">
        <x:v>Collect a project’s site content and notes into one research context.</x:v>
      </x:c>
      <x:c r="H353" s="19" t="str">
        <x:v>Expands project grounding beyond individually gathered files.</x:v>
      </x:c>
      <x:c r="I353" s="19" t="str">
        <x:v>Frontier preview</x:v>
      </x:c>
      <x:c r="J353" s="19" t="str">
        <x:v>Not specified in dated announcement; verify tenant entitlement
Platform/region not specified
Frontier preview. Platform/region not specified. Not specified in dated announcement; verify tenant entitlement.</x:v>
      </x:c>
      <x:c r="K353" s="19" t="str">
        <x:v>2026-04 to 2026-05</x:v>
      </x:c>
      <x:c r="L353"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3" s="25" t="str"/>
      <x:c r="N353" s="20" t="d">
        <x:v>2026-04-30T00:00:00.000Z</x:v>
      </x:c>
      <x:c r="O353" s="20" t="d">
        <x:v>2026-10-16T00:00:00.000Z</x:v>
      </x:c>
      <x:c r="P353" s="24" t="str">
        <x:v>COP-32133FF644</x:v>
      </x:c>
      <x:c r="Q353" s="19" t="str">
        <x:v>Frontier preview</x:v>
      </x:c>
      <x:c r="R353" s="19" t="str">
        <x:v>Checked 2026-10-16. Availability is the historical state stated by this source, not proof of availability for every tenant today. Monthly recaps are editable and state dates are tentative. </x:v>
      </x:c>
      <x:c r="S353" s="19" t="str"/>
      <x:c r="T353" s="19" t="str"/>
      <x:c r="U353" s="20" t="d">
        <x:v>2026-04-30T00:00:00.000Z</x:v>
      </x:c>
    </x:row>
    <x:row r="354" ht="85" customHeight="1">
      <x:c r="A354" s="21" t="d">
        <x:v>2026-04-30T00:00:00.000Z</x:v>
      </x:c>
      <x:c r="B354" s="19" t="str">
        <x:v>Release-note report date. Reported rollout. Availability precision: Exact announcement day; availability month or window only</x:v>
      </x:c>
      <x:c r="C354" s="19" t="str">
        <x:v>Copilot Pages</x:v>
      </x:c>
      <x:c r="D354" s="19" t="str">
        <x:v>Work-grounded interactive Pages</x:v>
      </x:c>
      <x:c r="E354" s="19" t="str">
        <x:v>Work IQ can ground interactive visuals and apps created within Pages.</x:v>
      </x:c>
      <x:c r="F354" s="23" t="str">
        <x:v>High</x:v>
      </x:c>
      <x:c r="G354" s="19" t="str">
        <x:v>Explore project information through a generated interactive view.</x:v>
      </x:c>
      <x:c r="H354" s="19" t="str">
        <x:v>Makes organizational information usable in lightweight interactive outputs.</x:v>
      </x:c>
      <x:c r="I354" s="19" t="str">
        <x:v>Reported rollout</x:v>
      </x:c>
      <x:c r="J354" s="19" t="str">
        <x:v>Not specified in dated announcement; verify tenant entitlement
Platform/region not specified
Reported rollout. Platform/region not specified. Not specified in dated announcement; verify tenant entitlement.</x:v>
      </x:c>
      <x:c r="K354" s="19" t="str">
        <x:v>2026-04</x:v>
      </x:c>
      <x:c r="L354"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4" s="25" t="str"/>
      <x:c r="N354" s="20" t="d">
        <x:v>2026-04-30T00:00:00.000Z</x:v>
      </x:c>
      <x:c r="O354" s="20" t="d">
        <x:v>2026-10-16T00:00:00.000Z</x:v>
      </x:c>
      <x:c r="P354" s="24" t="str">
        <x:v>COP-C8F9CDA355</x:v>
      </x:c>
      <x:c r="Q354" s="19" t="str">
        <x:v>Reported rollout</x:v>
      </x:c>
      <x:c r="R354" s="19" t="str">
        <x:v>Checked 2026-10-16. Availability is the historical state stated by this source, not proof of availability for every tenant today. Monthly recaps are editable and state dates are tentative. April month overlaps scope boundary; exact day unknown.</x:v>
      </x:c>
      <x:c r="S354" s="19" t="str"/>
      <x:c r="T354" s="19" t="str"/>
      <x:c r="U354" s="20" t="d">
        <x:v>2026-04-30T00:00:00.000Z</x:v>
      </x:c>
    </x:row>
    <x:row r="355" ht="85" customHeight="1">
      <x:c r="A355" s="21" t="d">
        <x:v>2026-04-30T00:00:00.000Z</x:v>
      </x:c>
      <x:c r="B355" s="19" t="str">
        <x:v>Planned rollout. Availability precision: Exact announcement day; future availability not established</x:v>
      </x:c>
      <x:c r="C355" s="19" t="str">
        <x:v>Excel</x:v>
      </x:c>
      <x:c r="D355" s="19" t="str">
        <x:v>Plan mode before workbook edits</x:v>
      </x:c>
      <x:c r="E355" s="19" t="str">
        <x:v>Review and refine Copilot’s intended approach before it changes a workbook.</x:v>
      </x:c>
      <x:c r="F355" s="23" t="str">
        <x:v>High</x:v>
      </x:c>
      <x:c r="G355" s="19" t="str">
        <x:v>Check the proposed cleaning and modeling steps before modifying a reporting workbook.</x:v>
      </x:c>
      <x:c r="H355" s="19" t="str">
        <x:v>Adds an important review point for consequential multi-step spreadsheet edits.</x:v>
      </x:c>
      <x:c r="I355" s="19" t="str">
        <x:v>Planned rollout</x:v>
      </x:c>
      <x:c r="J355" s="19" t="str">
        <x:v>Not specified in dated announcement; verify tenant entitlement
Platform/region not specified
Planned rollout. Platform/region not specified. Not specified in dated announcement; verify tenant entitlement.</x:v>
      </x:c>
      <x:c r="K355" s="19" t="str">
        <x:v>2026-05</x:v>
      </x:c>
      <x:c r="L355"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5" s="25" t="str"/>
      <x:c r="N355" s="20" t="d">
        <x:v>2026-04-30T00:00:00.000Z</x:v>
      </x:c>
      <x:c r="O355" s="20" t="d">
        <x:v>2026-10-16T00:00:00.000Z</x:v>
      </x:c>
      <x:c r="P355" s="24" t="str">
        <x:v>COP-2EDC328649</x:v>
      </x:c>
      <x:c r="Q355" s="19" t="str">
        <x:v>Planned rollout</x:v>
      </x:c>
      <x:c r="R355" s="19" t="str">
        <x:v>Checked 2026-10-16. Availability is the historical state stated by this source, not proof of availability for every tenant today. Monthly recaps are editable and state dates are tentative. </x:v>
      </x:c>
      <x:c r="S355" s="19" t="str"/>
      <x:c r="T355" s="19" t="str"/>
      <x:c r="U355" s="20" t="d">
        <x:v>2026-04-30T00:00:00.000Z</x:v>
      </x:c>
    </x:row>
    <x:row r="356" ht="85" customHeight="1">
      <x:c r="A356" s="21" t="d">
        <x:v>2026-04-30T00:00:00.000Z</x:v>
      </x:c>
      <x:c r="B356" s="19" t="str">
        <x:v>Planned rollout. Availability precision: Exact announcement day; future availability not established</x:v>
      </x:c>
      <x:c r="C356" s="19" t="str">
        <x:v>Excel</x:v>
      </x:c>
      <x:c r="D356" s="19" t="str">
        <x:v>Python within agentic editing</x:v>
      </x:c>
      <x:c r="E356" s="19" t="str">
        <x:v>Copilot can use Python during workbook analysis and editing tasks.</x:v>
      </x:c>
      <x:c r="F356" s="23" t="str">
        <x:v>High</x:v>
      </x:c>
      <x:c r="G356" s="19" t="str">
        <x:v>Ask for a Python-based statistical exploration while cleaning a dataset.</x:v>
      </x:c>
      <x:c r="H356" s="19" t="str">
        <x:v>Extends spreadsheet workflows to more advanced transformations and analytical visuals.</x:v>
      </x:c>
      <x:c r="I356" s="19" t="str">
        <x:v>Planned rollout</x:v>
      </x:c>
      <x:c r="J356" s="19" t="str">
        <x:v>Not specified in dated announcement; verify tenant entitlement
Platform/region not specified
Planned rollout. Platform/region not specified. Not specified in dated announcement; verify tenant entitlement.</x:v>
      </x:c>
      <x:c r="K356" s="19" t="str">
        <x:v>2026-05</x:v>
      </x:c>
      <x:c r="L356"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6" s="25" t="str"/>
      <x:c r="N356" s="20" t="d">
        <x:v>2026-04-30T00:00:00.000Z</x:v>
      </x:c>
      <x:c r="O356" s="20" t="d">
        <x:v>2026-10-16T00:00:00.000Z</x:v>
      </x:c>
      <x:c r="P356" s="24" t="str">
        <x:v>COP-F72F69327D</x:v>
      </x:c>
      <x:c r="Q356" s="19" t="str">
        <x:v>Planned rollout</x:v>
      </x:c>
      <x:c r="R356" s="19" t="str">
        <x:v>Checked 2026-10-16. Availability is the historical state stated by this source, not proof of availability for every tenant today. Monthly recaps are editable and state dates are tentative. </x:v>
      </x:c>
      <x:c r="S356" s="19" t="str"/>
      <x:c r="T356" s="19" t="str"/>
      <x:c r="U356" s="20" t="d">
        <x:v>2026-04-30T00:00:00.000Z</x:v>
      </x:c>
    </x:row>
    <x:row r="357" ht="85" customHeight="1">
      <x:c r="A357" s="21" t="d">
        <x:v>2026-04-30T00:00:00.000Z</x:v>
      </x:c>
      <x:c r="B357" s="19" t="str">
        <x:v>Release-note report date. Reported rollout. Availability precision: Exact announcement day; availability month or window only</x:v>
      </x:c>
      <x:c r="C357" s="19" t="str">
        <x:v>Microsoft 365 admin center</x:v>
      </x:c>
      <x:c r="D357" s="19" t="str">
        <x:v>Prepaid-only billing policies</x:v>
      </x:c>
      <x:c r="E357" s="19" t="str">
        <x:v>Restrict supported consumption experiences to prepaid credits.</x:v>
      </x:c>
      <x:c r="F357" s="23" t="str">
        <x:v>Medium</x:v>
      </x:c>
      <x:c r="G357" s="19" t="str">
        <x:v>Pilot consumption-based tools under a fixed prepaid allowance.</x:v>
      </x:c>
      <x:c r="H357" s="19" t="str">
        <x:v>Controls exposure to variable pay-as-you-go spending. The productivity benefit is indirect and mainly affects administrators or purchasing decisions.</x:v>
      </x:c>
      <x:c r="I357" s="19" t="str">
        <x:v>Reported rollout</x:v>
      </x:c>
      <x:c r="J357" s="19" t="str">
        <x:v>Not specified in dated announcement; verify tenant entitlement
Platform/region not specified
Reported rollout. Platform/region not specified. Not specified in dated announcement; verify tenant entitlement.</x:v>
      </x:c>
      <x:c r="K357" s="19" t="str">
        <x:v>2026-04</x:v>
      </x:c>
      <x:c r="L357"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7" s="25" t="str"/>
      <x:c r="N357" s="20" t="d">
        <x:v>2026-04-30T00:00:00.000Z</x:v>
      </x:c>
      <x:c r="O357" s="20" t="d">
        <x:v>2026-10-16T00:00:00.000Z</x:v>
      </x:c>
      <x:c r="P357" s="24" t="str">
        <x:v>COP-EA8828E1A7</x:v>
      </x:c>
      <x:c r="Q357" s="19" t="str">
        <x:v>Reported rollout</x:v>
      </x:c>
      <x:c r="R357" s="19" t="str">
        <x:v>Checked 2026-10-16. Availability is the historical state stated by this source, not proof of availability for every tenant today. Monthly recaps are editable and state dates are tentative. April month overlaps scope boundary; exact day unknown.</x:v>
      </x:c>
      <x:c r="S357" s="19" t="str"/>
      <x:c r="T357" s="19" t="str"/>
      <x:c r="U357" s="20" t="d">
        <x:v>2026-04-30T00:00:00.000Z</x:v>
      </x:c>
    </x:row>
    <x:row r="358" ht="85" customHeight="1">
      <x:c r="A358" s="21" t="d">
        <x:v>2026-04-30T00:00:00.000Z</x:v>
      </x:c>
      <x:c r="B358" s="19" t="str">
        <x:v>Release-note report date. Reported rollout. Availability precision: Exact announcement day; availability month or window only</x:v>
      </x:c>
      <x:c r="C358" s="19" t="str">
        <x:v>PowerPoint</x:v>
      </x:c>
      <x:c r="D358" s="19" t="str">
        <x:v>Image-model choice</x:v>
      </x:c>
      <x:c r="E358" s="19" t="str">
        <x:v>Select an image-generation model or let Copilot choose automatically.</x:v>
      </x:c>
      <x:c r="F358" s="23" t="str">
        <x:v>Medium</x:v>
      </x:c>
      <x:c r="G358" s="19" t="str">
        <x:v>Test alternate models for an illustration in a client deck.</x:v>
      </x:c>
      <x:c r="H358" s="19" t="str">
        <x:v>Lets creators compare output styles without changing authoring tools.</x:v>
      </x:c>
      <x:c r="I358" s="19" t="str">
        <x:v>Reported rollout</x:v>
      </x:c>
      <x:c r="J358" s="19" t="str">
        <x:v>Not specified in dated announcement; verify tenant entitlement
Platform/region not specified
Reported rollout. Platform/region not specified. Not specified in dated announcement; verify tenant entitlement.</x:v>
      </x:c>
      <x:c r="K358" s="19" t="str">
        <x:v>2026-04</x:v>
      </x:c>
      <x:c r="L358"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8" s="25" t="str"/>
      <x:c r="N358" s="20" t="d">
        <x:v>2026-04-30T00:00:00.000Z</x:v>
      </x:c>
      <x:c r="O358" s="20" t="d">
        <x:v>2026-10-16T00:00:00.000Z</x:v>
      </x:c>
      <x:c r="P358" s="24" t="str">
        <x:v>COP-6D4FF540E0</x:v>
      </x:c>
      <x:c r="Q358" s="19" t="str">
        <x:v>Reported rollout</x:v>
      </x:c>
      <x:c r="R358" s="19" t="str">
        <x:v>Checked 2026-10-16. Availability is the historical state stated by this source, not proof of availability for every tenant today. Monthly recaps are editable and state dates are tentative. April month overlaps scope boundary; exact day unknown.</x:v>
      </x:c>
      <x:c r="S358" s="19" t="str"/>
      <x:c r="T358" s="19" t="str"/>
      <x:c r="U358" s="20" t="d">
        <x:v>2026-04-30T00:00:00.000Z</x:v>
      </x:c>
    </x:row>
    <x:row r="359" ht="115" customHeight="1">
      <x:c r="A359" s="21" t="d">
        <x:v>2026-04-30T00:00:00.000Z</x:v>
      </x:c>
      <x:c r="B359" s="19" t="str">
        <x:v>Release-note report date. Reported rollout. Availability precision: Exact announcement day; availability month or window only</x:v>
      </x:c>
      <x:c r="C359" s="19" t="str">
        <x:v>PowerPoint</x:v>
      </x:c>
      <x:c r="D359" s="19" t="str">
        <x:v>Public webpages as presentation sources</x:v>
      </x:c>
      <x:c r="E359" s="19" t="str">
        <x:v>Reference public webpages when generating presentation content.</x:v>
      </x:c>
      <x:c r="F359" s="23" t="str">
        <x:v>High</x:v>
      </x:c>
      <x:c r="G359" s="19" t="str">
        <x:v>Build a market-context outline from selected public reference pages.</x:v>
      </x:c>
      <x:c r="H359" s="19" t="str">
        <x:v>Reduces manual transfer of external research into initial slides.</x:v>
      </x:c>
      <x:c r="I359" s="19" t="str">
        <x:v>Reported rollout</x:v>
      </x:c>
      <x:c r="J359" s="19" t="str">
        <x:v>Not specified in dated announcement; verify tenant entitlement
Platform/region not specified
Reported rollout. Platform/region not specified. Not specified in dated announcement; verify tenant entitlement.</x:v>
      </x:c>
      <x:c r="K359" s="19" t="str">
        <x:v>2026-04</x:v>
      </x:c>
      <x:c r="L359"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59" s="25" t="str">
        <x:f>IFERROR(HYPERLINK("https://learn.microsoft.com/en-us/microsoft-365/copilot/release-notes#august-11-2026","Microsoft release notes, 2026-08-11"),"Microsoft release notes, 2026-08-11")</x:f>
        <x:v>Microsoft release notes, 2026-08-11</x:v>
      </x:c>
      <x:c r="N359" s="20" t="d">
        <x:v>2026-04-30T00:00:00.000Z</x:v>
      </x:c>
      <x:c r="O359" s="20" t="d">
        <x:v>2026-10-16T00:00:00.000Z</x:v>
      </x:c>
      <x:c r="P359" s="24" t="str">
        <x:v>COP-9F11121A1A</x:v>
      </x:c>
      <x:c r="Q359" s="19" t="str">
        <x:v>Reported rollout</x:v>
      </x:c>
      <x:c r="R359" s="19" t="str">
        <x:v>Checked 2026-10-16. Availability is the historical state stated by this source, not proof of availability for every tenant today. Monthly recaps are editable and state dates are tentative. April month overlaps scope boundary; exact day unknown. Later corroboration: 2026-08-11 release-note batch, covering 2026-07-28 to 2026-08-11. This later mention is not counted as another first launch.</x:v>
      </x:c>
      <x:c r="S359" s="19" t="str"/>
      <x:c r="T359" s="19"/>
      <x:c r="U359" s="20" t="d">
        <x:v>2026-04-30T00:00:00.000Z</x:v>
      </x:c>
    </x:row>
    <x:row r="360" ht="85" customHeight="1">
      <x:c r="A360" s="21" t="d">
        <x:v>2026-04-30T00:00:00.000Z</x:v>
      </x:c>
      <x:c r="B360" s="19" t="str">
        <x:v>Release-note report date. Public preview. Availability precision: Exact announcement day; availability month or window only</x:v>
      </x:c>
      <x:c r="C360" s="19" t="str">
        <x:v>Teams</x:v>
      </x:c>
      <x:c r="D360" s="19" t="str">
        <x:v>Consecutive interpretation</x:v>
      </x:c>
      <x:c r="E360" s="19" t="str">
        <x:v>A turn-taking interpreter mode translates after a speaker finishes.</x:v>
      </x:c>
      <x:c r="F360" s="23" t="str">
        <x:v>High</x:v>
      </x:c>
      <x:c r="G360" s="19" t="str">
        <x:v>Run a two-language discussion with translated turns visible to participants.</x:v>
      </x:c>
      <x:c r="H360" s="19" t="str">
        <x:v>Changes how bilingual meetings can be conducted.</x:v>
      </x:c>
      <x:c r="I360" s="19" t="str">
        <x:v>Public preview</x:v>
      </x:c>
      <x:c r="J360" s="19" t="str">
        <x:v>Not specified in dated announcement; verify tenant entitlement
Platform/region not specified
Public preview. Platform/region not specified. Not specified in dated announcement; verify tenant entitlement.</x:v>
      </x:c>
      <x:c r="K360" s="19" t="str">
        <x:v>2026-04</x:v>
      </x:c>
      <x:c r="L360"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60" s="25" t="str"/>
      <x:c r="N360" s="20" t="d">
        <x:v>2026-04-30T00:00:00.000Z</x:v>
      </x:c>
      <x:c r="O360" s="20" t="d">
        <x:v>2026-10-16T00:00:00.000Z</x:v>
      </x:c>
      <x:c r="P360" s="24" t="str">
        <x:v>COP-CFC098B0BC</x:v>
      </x:c>
      <x:c r="Q360" s="19" t="str">
        <x:v>Public preview</x:v>
      </x:c>
      <x:c r="R360" s="19" t="str">
        <x:v>Checked 2026-10-16. Availability is the historical state stated by this source, not proof of availability for every tenant today. Monthly recaps are editable and state dates are tentative. April month overlaps scope boundary; exact day unknown.</x:v>
      </x:c>
      <x:c r="S360" s="19" t="str"/>
      <x:c r="T360" s="19"/>
      <x:c r="U360" s="20" t="d">
        <x:v>2026-04-30T00:00:00.000Z</x:v>
      </x:c>
    </x:row>
    <x:row r="361" ht="130" customHeight="1">
      <x:c r="A361" s="21" t="d">
        <x:v>2026-04-30T00:00:00.000Z</x:v>
      </x:c>
      <x:c r="B361" s="19" t="str">
        <x:v>Release-note report date. Reported rollout. Availability precision: Exact announcement day; availability month or window only</x:v>
      </x:c>
      <x:c r="C361" s="19" t="str">
        <x:v>Word</x:v>
      </x:c>
      <x:c r="D361" s="19" t="str">
        <x:v>Anthropic model choice for editing</x:v>
      </x:c>
      <x:c r="E361" s="19" t="str">
        <x:v>Choose a Claude model for Word drafting and editing workflows.</x:v>
      </x:c>
      <x:c r="F361" s="23" t="str">
        <x:v>Medium</x:v>
      </x:c>
      <x:c r="G361" s="19" t="str">
        <x:v>Try another model when restructuring a difficult report.</x:v>
      </x:c>
      <x:c r="H361" s="19" t="str">
        <x:v>Supports comparison of model behavior within the same document workflow.</x:v>
      </x:c>
      <x:c r="I361" s="19" t="str">
        <x:v>Reported rollout</x:v>
      </x:c>
      <x:c r="J361" s="19" t="str">
        <x:v>Not specified in dated announcement; verify tenant entitlement
Platform/region not specified
Reported rollout. Platform/region not specified. Not specified in dated announcement; verify tenant entitlement.</x:v>
      </x:c>
      <x:c r="K361" s="19" t="str">
        <x:v>2026-04</x:v>
      </x:c>
      <x:c r="L361" s="25" t="str">
        <x:f>IFERROR(HYPERLINK("https://techcommunity.microsoft.com/blog/microsoft-copilot-blog/what%E2%80%99s-new-in-microsoft-365-copilot--april-2026/4510935","What’s New in Microsoft 365 Copilot | April 2026"),"What’s New in Microsoft 365 Copilot | April 2026")</x:f>
        <x:v>What’s New in Microsoft 365 Copilot | April 2026</x:v>
      </x:c>
      <x:c r="M361" s="25" t="str">
        <x:f>IFERROR(HYPERLINK("https://learn.microsoft.com/en-us/microsoft-365/copilot/release-notes#august-11-2026","Microsoft release notes, 2026-08-11"),"Microsoft release notes, 2026-08-11")</x:f>
        <x:v>Microsoft release notes, 2026-08-11</x:v>
      </x:c>
      <x:c r="N361" s="20" t="d">
        <x:v>2026-04-30T00:00:00.000Z</x:v>
      </x:c>
      <x:c r="O361" s="20" t="d">
        <x:v>2026-10-16T00:00:00.000Z</x:v>
      </x:c>
      <x:c r="P361" s="24" t="str">
        <x:v>COP-525233092A</x:v>
      </x:c>
      <x:c r="Q361" s="19" t="str">
        <x:v>Reported rollout</x:v>
      </x:c>
      <x:c r="R361" s="19" t="str">
        <x:v>Checked 2026-10-16. Availability is the historical state stated by this source, not proof of availability for every tenant today. Monthly recaps are editable and state dates are tentative. June recap again reports model choice as June rollout; platform/stage differences are not resolved. Exact April date unknown. Later corroboration: 2026-08-11 release-note batch, covering 2026-07-28 to 2026-08-11. This later mention is not counted as another first launch.</x:v>
      </x:c>
      <x:c r="S361" s="19" t="str"/>
      <x:c r="T361" s="19" t="str"/>
      <x:c r="U361" s="20" t="d">
        <x:v>2026-04-30T00:00:00.000Z</x:v>
      </x:c>
    </x:row>
    <x:row r="362" ht="100" customHeight="1">
      <x:c r="A362" s="21" t="d">
        <x:v>2026-04-30T00:00:00.000Z</x:v>
      </x:c>
      <x:c r="B362" s="19" t="str">
        <x:v>Frontier preview. Availability precision: Exact announcement day; exact stated availability day</x:v>
      </x:c>
      <x:c r="C362" s="19" t="str">
        <x:v>Word Legal Agent</x:v>
      </x:c>
      <x:c r="D362" s="19" t="str">
        <x:v>Legal Agent preview</x:v>
      </x:c>
      <x:c r="E362" s="19" t="str">
        <x:v>Review contracts against playbooks and propose traceable redlines in Word.</x:v>
      </x:c>
      <x:c r="F362" s="23" t="str">
        <x:v>High</x:v>
      </x:c>
      <x:c r="G362" s="19" t="str">
        <x:v>Compare contract language with an approved playbook for professional review.</x:v>
      </x:c>
      <x:c r="H362" s="19" t="str">
        <x:v>Supports specialized clause-by-clause review while preserving revision history.</x:v>
      </x:c>
      <x:c r="I362" s="19" t="str">
        <x:v>Frontier preview</x:v>
      </x:c>
      <x:c r="J362" s="19" t="str">
        <x:v>Frontier program eligibility; full license terms not specified
Word on Windows desktop; current edited source says worldwide
Frontier preview. Word on Windows desktop; current edited source says worldwide. Frontier program eligibility; full license terms not specified.</x:v>
      </x:c>
      <x:c r="K362" s="19" t="str">
        <x:v>2026-04-30</x:v>
      </x:c>
      <x:c r="L362" s="25" t="str">
        <x:f>IFERROR(HYPERLINK("https://techcommunity.microsoft.com/blog/microsoft-copilot-blog/word-legal-agent-in-frontier/4516218","Word: Legal Agent in Frontier"),"Word: Legal Agent in Frontier")</x:f>
        <x:v>Word: Legal Agent in Frontier</x:v>
      </x:c>
      <x:c r="M362" s="25"/>
      <x:c r="N362" s="20" t="d">
        <x:v>2026-04-30T00:00:00.000Z</x:v>
      </x:c>
      <x:c r="O362" s="20" t="d">
        <x:v>2026-10-16T00:00:00.000Z</x:v>
      </x:c>
      <x:c r="P362" s="24" t="str">
        <x:v>COP-F4AA157928</x:v>
      </x:c>
      <x:c r="Q362" s="19" t="str">
        <x:v>Frontier preview</x:v>
      </x:c>
      <x:c r="R362" s="19" t="str">
        <x:v>Checked 2026-10-16. Availability is the historical state stated by this source, not proof of availability for every tenant today. Article revised June 12; initial regional boundary cannot be reconstructed confidently. Outputs require qualified legal review and are not legal advice.</x:v>
      </x:c>
      <x:c r="S362" s="19"/>
      <x:c r="T362" s="19"/>
      <x:c r="U362" s="20" t="d">
        <x:v>2026-04-30T00:00:00.000Z</x:v>
      </x:c>
    </x:row>
    <x:row r="363" ht="100" customHeight="1">
      <x:c r="A363" s="21" t="d">
        <x:v>2026-04-29T00:00:00.000Z</x:v>
      </x:c>
      <x:c r="B363" s="19" t="str">
        <x:v>Release-note report date. Rolling out. Availability precision: Exact announcement day; availability month or window only</x:v>
      </x:c>
      <x:c r="C363" s="19" t="str">
        <x:v>OneNote</x:v>
      </x:c>
      <x:c r="D363" s="19" t="str">
        <x:v>Understand images, tables and task tags</x:v>
      </x:c>
      <x:c r="E363" s="19" t="str">
        <x:v>Copilot can reason over richer page content, including completed task markers.</x:v>
      </x:c>
      <x:c r="F363" s="23" t="str">
        <x:v>High</x:v>
      </x:c>
      <x:c r="G363" s="19" t="str">
        <x:v>Ask which workshop actions remain open and include photographed or tabular context.</x:v>
      </x:c>
      <x:c r="H363" s="19" t="str">
        <x:v>Reduces missed context when notes mix text with visual and structured content.</x:v>
      </x:c>
      <x:c r="I363" s="19" t="str">
        <x:v>Rolling out</x:v>
      </x:c>
      <x:c r="J363" s="19" t="str">
        <x:v>Source wording: Microsoft 365 Copilot (Premium or Basic)
Windows 2601 build 19628.20128+; Mac/iOS 16.106 build 26020821+
Rolling out. Windows 2601 build 19628.20128+; Mac/iOS 16.106 build 26020821+. Source wording: Microsoft 365 Copilot (Premium or Basic).</x:v>
      </x:c>
      <x:c r="K363" s="19" t="str">
        <x:v>2026-04-29 rollout announced</x:v>
      </x:c>
      <x:c r="L363" s="25" t="str">
        <x:f>IFERROR(HYPERLINK("https://techcommunity.microsoft.com/blog/microsoft365copilotblog/copilot-in-onenote-now-understands-more-of-your-notes/4515922","Copilot in OneNote now understands more of your notes"),"Copilot in OneNote now understands more of your notes")</x:f>
        <x:v>Copilot in OneNote now understands more of your notes</x:v>
      </x:c>
      <x:c r="M363" s="25"/>
      <x:c r="N363" s="20" t="d">
        <x:v>2026-04-29T00:00:00.000Z</x:v>
      </x:c>
      <x:c r="O363" s="20" t="d">
        <x:v>2026-10-16T00:00:00.000Z</x:v>
      </x:c>
      <x:c r="P363" s="24" t="str">
        <x:v>COP-62446810AD</x:v>
      </x:c>
      <x:c r="Q363" s="19" t="str">
        <x:v>Rolling out</x:v>
      </x:c>
      <x:c r="R363" s="19" t="str">
        <x:v>Checked 2026-10-16. Availability is the historical state stated by this source, not proof of availability for every tenant today. </x:v>
      </x:c>
      <x:c r="S363" s="19"/>
      <x:c r="T363" s="19"/>
      <x:c r="U363" s="20" t="d">
        <x:v>2026-04-29T00:00:00.000Z</x:v>
      </x:c>
    </x:row>
    <x:row r="364" ht="100" customHeight="1">
      <x:c r="A364" s="21" t="d">
        <x:v>2026-04-27T00:00:00.000Z</x:v>
      </x:c>
      <x:c r="B364" s="19" t="str">
        <x:v>Rollout begins. Availability precision: Exact rollout start; completion unknown</x:v>
      </x:c>
      <x:c r="C364" s="19" t="str">
        <x:v>Microsoft 365 Copilot Chat</x:v>
      </x:c>
      <x:c r="D364" s="19" t="str">
        <x:v>GPT-5.5 Thinking in Copilot Chat</x:v>
      </x:c>
      <x:c r="E364" s="19" t="str">
        <x:v>An updated reasoning model supports more involved analytical work.</x:v>
      </x:c>
      <x:c r="F364" s="23" t="str">
        <x:v>High</x:v>
      </x:c>
      <x:c r="G364" s="19" t="str">
        <x:v>Compare several project options with explicit assumptions and trade-offs.</x:v>
      </x:c>
      <x:c r="H364" s="19" t="str">
        <x:v>Supports more demanding multi-step analysis and planning.</x:v>
      </x:c>
      <x:c r="I364" s="19" t="str">
        <x:v>GA feed; staged deployment</x:v>
      </x:c>
      <x:c r="J364" s="19" t="str">
        <x:v>Not specified in dated entry; verify tenant entitlement
Copilot Chat, Word, Excel, PowerPoint rollout; Copilot Studio early-release environments
Staged rollout. Not specified in dated entry; verify tenant entitlement. Copilot Chat, Word, Excel, PowerPoint rollout; Copilot Studio early-release environments</x:v>
      </x:c>
      <x:c r="K364" s="19" t="str">
        <x:v>2026-04-27 rollout starts</x:v>
      </x:c>
      <x:c r="L364" s="25" t="str">
        <x:f>IFERROR(HYPERLINK("https://techcommunity.microsoft.com/blog/microsoft365copilotblog/available-today-gpt-5-5-thinking-and-chatgpt-images-2-0-in-microsoft-365-copilot/4514243","Available today: GPT-5.5 Thinking and ChatGPT Images 2.0 in Microsoft 365 Copilot"),"Available today: GPT-5.5 Thinking and ChatGPT Images 2.0 in Microsoft 365 Copilot")</x:f>
        <x:v>Available today: GPT-5.5 Thinking and ChatGPT Images 2.0 in Microsoft 365 Copilot</x:v>
      </x:c>
      <x:c r="M364" s="25"/>
      <x:c r="N364" s="20" t="d">
        <x:v>2026-04-27T00:00:00.000Z</x:v>
      </x:c>
      <x:c r="O364" s="20" t="d">
        <x:v>2026-10-16T00:00:00.000Z</x:v>
      </x:c>
      <x:c r="P364" s="24" t="str">
        <x:v>COP-95C0183EEF</x:v>
      </x:c>
      <x:c r="Q364" s="19" t="str">
        <x:v>Rollout begins</x:v>
      </x:c>
      <x:c r="R364" s="19" t="str">
        <x:v>Dated launch announcement establishes rollout start; May 19 GA-feed entry corroborates subsequent availability. Exact completion by tenant is not known.</x:v>
      </x:c>
      <x:c r="S364" s="19"/>
      <x:c r="T364" s="19"/>
      <x:c r="U364" s="20" t="d">
        <x:v>2026-04-27T00:00:00.000Z</x:v>
      </x:c>
    </x:row>
    <x:row r="365" ht="85" customHeight="1">
      <x:c r="A365" s="21" t="d">
        <x:v>2026-04-27T00:00:00.000Z</x:v>
      </x:c>
      <x:c r="B365" s="19" t="str">
        <x:v>Frontier preview. Availability precision: Exact announcement day; exact stated availability day</x:v>
      </x:c>
      <x:c r="C365" s="19" t="str">
        <x:v>Outlook</x:v>
      </x:c>
      <x:c r="D365" s="19" t="str">
        <x:v>Agentic inbox workflows</x:v>
      </x:c>
      <x:c r="E365" s="19" t="str">
        <x:v>Handle multi-step inbox triage, contextual drafts and inbox-rule tasks.</x:v>
      </x:c>
      <x:c r="F365" s="23" t="str">
        <x:v>High</x:v>
      </x:c>
      <x:c r="G365" s="19" t="str">
        <x:v>Find important unanswered threads and prepare suitable follow-ups.</x:v>
      </x:c>
      <x:c r="H365" s="19" t="str">
        <x:v>Combines several manual email-management steps into a delegated workflow.</x:v>
      </x:c>
      <x:c r="I365" s="19" t="str">
        <x:v>Frontier preview</x:v>
      </x:c>
      <x:c r="J365" s="19" t="str">
        <x:v>Frontier program eligibility; full license terms not specified
All Outlook endpoints in announcement
Frontier preview. All Outlook endpoints in announcement. Frontier program eligibility; full license terms not specified.</x:v>
      </x:c>
      <x:c r="K365" s="19" t="str">
        <x:v>2026-04-27</x:v>
      </x:c>
      <x:c r="L365" s="25" t="str">
        <x:f>IFERROR(HYPERLINK("https://techcommunity.microsoft.com/blog/outlook/copilot-in-outlook-new-agentic-experiences-for-email-and-calendar/4514601","Copilot in Outlook: New agentic experiences for email and calendar"),"Copilot in Outlook: New agentic experiences for email and calendar")</x:f>
        <x:v>Copilot in Outlook: New agentic experiences for email and calendar</x:v>
      </x:c>
      <x:c r="M365" s="25"/>
      <x:c r="N365" s="20" t="d">
        <x:v>2026-04-27T00:00:00.000Z</x:v>
      </x:c>
      <x:c r="O365" s="20" t="d">
        <x:v>2026-10-16T00:00:00.000Z</x:v>
      </x:c>
      <x:c r="P365" s="24" t="str">
        <x:v>COP-CCB48B0E85</x:v>
      </x:c>
      <x:c r="Q365" s="19" t="str">
        <x:v>Frontier preview</x:v>
      </x:c>
      <x:c r="R365" s="19" t="str">
        <x:v>Checked 2026-10-16. Availability is the historical state stated by this source, not proof of availability for every tenant today. </x:v>
      </x:c>
      <x:c r="S365" s="19"/>
      <x:c r="T365" s="19"/>
      <x:c r="U365" s="20" t="d">
        <x:v>2026-04-27T00:00:00.000Z</x:v>
      </x:c>
    </x:row>
    <x:row r="366" ht="85" customHeight="1">
      <x:c r="A366" s="21" t="d">
        <x:v>2026-04-27T00:00:00.000Z</x:v>
      </x:c>
      <x:c r="B366" s="19" t="str">
        <x:v>Frontier preview. Availability precision: Exact announcement day; exact stated availability day</x:v>
      </x:c>
      <x:c r="C366" s="19" t="str">
        <x:v>Outlook</x:v>
      </x:c>
      <x:c r="D366" s="19" t="str">
        <x:v>Delegated calendar management</x:v>
      </x:c>
      <x:c r="E366" s="19" t="str">
        <x:v>Handle ongoing scheduling, conflicts, focus time and meeting updates.</x:v>
      </x:c>
      <x:c r="F366" s="23" t="str">
        <x:v>High</x:v>
      </x:c>
      <x:c r="G366" s="19" t="str">
        <x:v>Keep a managed recurring one-to-one from conflicting with other commitments.</x:v>
      </x:c>
      <x:c r="H366" s="19" t="str">
        <x:v>Automates recurring calendar coordination and reprioritization.</x:v>
      </x:c>
      <x:c r="I366" s="19" t="str">
        <x:v>Frontier preview</x:v>
      </x:c>
      <x:c r="J366" s="19" t="str">
        <x:v>Frontier program eligibility; full license terms not specified
Outlook for Windows and web
Frontier preview. Outlook for Windows and web. Frontier program eligibility; full license terms not specified.</x:v>
      </x:c>
      <x:c r="K366" s="19" t="str">
        <x:v>2026-04-27</x:v>
      </x:c>
      <x:c r="L366" s="25" t="str">
        <x:f>IFERROR(HYPERLINK("https://techcommunity.microsoft.com/blog/outlook/copilot-in-outlook-new-agentic-experiences-for-email-and-calendar/4514601","Copilot in Outlook: New agentic experiences for email and calendar"),"Copilot in Outlook: New agentic experiences for email and calendar")</x:f>
        <x:v>Copilot in Outlook: New agentic experiences for email and calendar</x:v>
      </x:c>
      <x:c r="M366" s="25"/>
      <x:c r="N366" s="20" t="d">
        <x:v>2026-04-27T00:00:00.000Z</x:v>
      </x:c>
      <x:c r="O366" s="20" t="d">
        <x:v>2026-10-16T00:00:00.000Z</x:v>
      </x:c>
      <x:c r="P366" s="24" t="str">
        <x:v>COP-722ADC73CC</x:v>
      </x:c>
      <x:c r="Q366" s="19" t="str">
        <x:v>Frontier preview</x:v>
      </x:c>
      <x:c r="R366" s="19" t="str">
        <x:v>Checked 2026-10-16. Availability is the historical state stated by this source, not proof of availability for every tenant today. </x:v>
      </x:c>
      <x:c r="S366" s="19"/>
      <x:c r="T366" s="19"/>
      <x:c r="U366" s="20" t="d">
        <x:v>2026-04-27T00:00:00.000Z</x:v>
      </x:c>
    </x:row>
    <x:row r="367" ht="100" customHeight="1">
      <x:c r="A367" s="21" t="d">
        <x:v>2026-04-27T00:00:00.000Z</x:v>
      </x:c>
      <x:c r="B367" s="19" t="str">
        <x:v>Release-note report date. PowerPoint rolling out; Chat planned. Availability precision: Exact announcement day; availability month or window only</x:v>
      </x:c>
      <x:c r="C367" s="19" t="str">
        <x:v>PowerPoint / Copilot Chat</x:v>
      </x:c>
      <x:c r="D367" s="19" t="str">
        <x:v>ChatGPT Images 2.0 rollout</x:v>
      </x:c>
      <x:c r="E367" s="19" t="str">
        <x:v>Add a newer OpenAI image model to Copilot visual generation.</x:v>
      </x:c>
      <x:c r="F367" s="23" t="str">
        <x:v>Medium</x:v>
      </x:c>
      <x:c r="G367" s="19" t="str">
        <x:v>Generate alternative supporting visuals for a business presentation.</x:v>
      </x:c>
      <x:c r="H367" s="19" t="str">
        <x:v>Improves the available toolset for first-draft presentation imagery.</x:v>
      </x:c>
      <x:c r="I367" s="19" t="str">
        <x:v>PowerPoint rolling out; Chat planned</x:v>
      </x:c>
      <x:c r="J367" s="19" t="str">
        <x:v>Not specified in dated announcement; verify tenant entitlement
PowerPoint initial rollout; Copilot Chat coming soon
PowerPoint rolling out; Chat planned. PowerPoint initial rollout; Copilot Chat coming soon. Not specified in dated announcement; verify tenant entitlement.</x:v>
      </x:c>
      <x:c r="K367" s="19" t="str">
        <x:v>2026-04-27 rollout starts</x:v>
      </x:c>
      <x:c r="L367" s="25" t="str">
        <x:f>IFERROR(HYPERLINK("https://techcommunity.microsoft.com/blog/microsoft365copilotblog/available-today-gpt-5-5-thinking-and-chatgpt-images-2-0-in-microsoft-365-copilot/4514243","Available today: GPT-5.5 Thinking and ChatGPT Images 2.0 in Microsoft 365 Copilot"),"Available today: GPT-5.5 Thinking and ChatGPT Images 2.0 in Microsoft 365 Copilot")</x:f>
        <x:v>Available today: GPT-5.5 Thinking and ChatGPT Images 2.0 in Microsoft 365 Copilot</x:v>
      </x:c>
      <x:c r="M367" s="25"/>
      <x:c r="N367" s="20" t="d">
        <x:v>2026-04-27T00:00:00.000Z</x:v>
      </x:c>
      <x:c r="O367" s="20" t="d">
        <x:v>2026-10-16T00:00:00.000Z</x:v>
      </x:c>
      <x:c r="P367" s="24" t="str">
        <x:v>COP-AD0F51EE7C</x:v>
      </x:c>
      <x:c r="Q367" s="19" t="str">
        <x:v>PowerPoint rolling out; Chat planned</x:v>
      </x:c>
      <x:c r="R367" s="19" t="str">
        <x:v>Checked 2026-10-16. Availability is the historical state stated by this source, not proof of availability for every tenant today. </x:v>
      </x:c>
      <x:c r="S367" s="19"/>
      <x:c r="T367" s="19"/>
      <x:c r="U367" s="20" t="d">
        <x:v>2026-04-27T00:00:00.000Z</x:v>
      </x:c>
    </x:row>
    <x:row r="368" ht="100" customHeight="1">
      <x:c r="A368" s="21" t="d">
        <x:v>2026-04-22T00:00:00.000Z</x:v>
      </x:c>
      <x:c r="B368" s="19" t="str">
        <x:v>GA. Availability precision: Exact announcement day; exact stated availability day</x:v>
      </x:c>
      <x:c r="C368" s="19" t="str">
        <x:v>Excel</x:v>
      </x:c>
      <x:c r="D368" s="19" t="str">
        <x:v>Agentic capabilities generally available</x:v>
      </x:c>
      <x:c r="E368" s="19" t="str">
        <x:v>Direct multi-step workbook analysis and editing becomes generally available.</x:v>
      </x:c>
      <x:c r="F368" s="23" t="str">
        <x:v>High</x:v>
      </x:c>
      <x:c r="G368" s="19" t="str">
        <x:v>Build analysis with formulas, tables and visuals in the workbook.</x:v>
      </x:c>
      <x:c r="H368" s="19" t="str">
        <x:v>Expands practical automation across the spreadsheet rather than isolated suggestions.</x:v>
      </x:c>
      <x:c r="I368" s="19" t="str">
        <x:v>GA</x:v>
      </x:c>
      <x:c r="J368" s="19" t="str">
        <x:v>Microsoft 365 Copilot and Microsoft 365 Premium; article also lists Personal and Family
Announcement does not give a full per-platform build matrix
GA. Announcement does not give a full per-platform build matrix. Microsoft 365 Copilot and Microsoft 365 Premium; article also lists Personal and Family.</x:v>
      </x:c>
      <x:c r="K368" s="19" t="str">
        <x:v>2026-04-22</x:v>
      </x:c>
      <x:c r="L368" s="25" t="str">
        <x:f>IFERROR(HYPERLINK("https://www.microsoft.com/en-us/copilot/blog/2026/04/22/copilots-agentic-capabilities-in-word-excel-and-powerpoint-are-generally-available/","Copilot’s agentic capabilities in Word, Excel, and PowerPoint are generally available"),"Copilot’s agentic capabilities in Word, Excel, and PowerPoint are generally available")</x:f>
        <x:v>Copilot’s agentic capabilities in Word, Excel, and PowerPoint are generally available</x:v>
      </x:c>
      <x:c r="M368" s="25"/>
      <x:c r="N368" s="20" t="d">
        <x:v>2026-04-22T00:00:00.000Z</x:v>
      </x:c>
      <x:c r="O368" s="20" t="d">
        <x:v>2026-10-16T00:00:00.000Z</x:v>
      </x:c>
      <x:c r="P368" s="24" t="str">
        <x:v>COP-7E0B3BC095</x:v>
      </x:c>
      <x:c r="Q368" s="19" t="str">
        <x:v>GA</x:v>
      </x:c>
      <x:c r="R368" s="19" t="str">
        <x:v>Checked 2026-10-16. Availability is the historical state stated by this source, not proof of availability for every tenant today. </x:v>
      </x:c>
      <x:c r="S368" s="19"/>
      <x:c r="T368" s="19"/>
      <x:c r="U368" s="20" t="d">
        <x:v>2026-04-22T00:00:00.000Z</x:v>
      </x:c>
    </x:row>
    <x:row r="369" ht="100" customHeight="1">
      <x:c r="A369" s="21" t="d">
        <x:v>2026-04-22T00:00:00.000Z</x:v>
      </x:c>
      <x:c r="B369" s="19" t="str">
        <x:v>GA. Availability precision: Exact announcement day; exact stated availability day</x:v>
      </x:c>
      <x:c r="C369" s="19" t="str">
        <x:v>PowerPoint</x:v>
      </x:c>
      <x:c r="D369" s="19" t="str">
        <x:v>Agentic capabilities generally available</x:v>
      </x:c>
      <x:c r="E369" s="19" t="str">
        <x:v>Direct multi-step presentation creation and revision becomes generally available.</x:v>
      </x:c>
      <x:c r="F369" s="23" t="str">
        <x:v>High</x:v>
      </x:c>
      <x:c r="G369" s="19" t="str">
        <x:v>Refresh an existing deck while retaining its template.</x:v>
      </x:c>
      <x:c r="H369" s="19" t="str">
        <x:v>Adds more substantive end-to-end deck editing for recurring business presentations.</x:v>
      </x:c>
      <x:c r="I369" s="19" t="str">
        <x:v>GA</x:v>
      </x:c>
      <x:c r="J369" s="19" t="str">
        <x:v>Microsoft 365 Copilot and Microsoft 365 Premium; article also lists Personal and Family
Announcement does not give a full per-platform build matrix
GA. Announcement does not give a full per-platform build matrix. Microsoft 365 Copilot and Microsoft 365 Premium; article also lists Personal and Family.</x:v>
      </x:c>
      <x:c r="K369" s="19" t="str">
        <x:v>2026-04-22</x:v>
      </x:c>
      <x:c r="L369" s="25" t="str">
        <x:f>IFERROR(HYPERLINK("https://www.microsoft.com/en-us/copilot/blog/2026/04/22/copilots-agentic-capabilities-in-word-excel-and-powerpoint-are-generally-available/","Copilot’s agentic capabilities in Word, Excel, and PowerPoint are generally available"),"Copilot’s agentic capabilities in Word, Excel, and PowerPoint are generally available")</x:f>
        <x:v>Copilot’s agentic capabilities in Word, Excel, and PowerPoint are generally available</x:v>
      </x:c>
      <x:c r="M369" s="25"/>
      <x:c r="N369" s="20" t="d">
        <x:v>2026-04-22T00:00:00.000Z</x:v>
      </x:c>
      <x:c r="O369" s="20" t="d">
        <x:v>2026-10-16T00:00:00.000Z</x:v>
      </x:c>
      <x:c r="P369" s="24" t="str">
        <x:v>COP-1AB2D711A3</x:v>
      </x:c>
      <x:c r="Q369" s="19" t="str">
        <x:v>GA</x:v>
      </x:c>
      <x:c r="R369" s="19" t="str">
        <x:v>Checked 2026-10-16. Availability is the historical state stated by this source, not proof of availability for every tenant today. </x:v>
      </x:c>
      <x:c r="S369" s="19"/>
      <x:c r="T369" s="19"/>
      <x:c r="U369" s="20" t="d">
        <x:v>2026-04-22T00:00:00.000Z</x:v>
      </x:c>
    </x:row>
    <x:row r="370" ht="100" customHeight="1">
      <x:c r="A370" s="21" t="d">
        <x:v>2026-04-22T00:00:00.000Z</x:v>
      </x:c>
      <x:c r="B370" s="19" t="str">
        <x:v>GA. Availability precision: Exact announcement day; exact stated availability day</x:v>
      </x:c>
      <x:c r="C370" s="19" t="str">
        <x:v>Word</x:v>
      </x:c>
      <x:c r="D370" s="19" t="str">
        <x:v>Agentic capabilities generally available</x:v>
      </x:c>
      <x:c r="E370" s="19" t="str">
        <x:v>Direct multi-step drafting and document restructuring becomes generally available.</x:v>
      </x:c>
      <x:c r="F370" s="23" t="str">
        <x:v>High</x:v>
      </x:c>
      <x:c r="G370" s="19" t="str">
        <x:v>Rewrite and reorganize a report directly in its document.</x:v>
      </x:c>
      <x:c r="H370" s="19" t="str">
        <x:v>Shifts Word assistance from advice to editable in-document work.</x:v>
      </x:c>
      <x:c r="I370" s="19" t="str">
        <x:v>GA</x:v>
      </x:c>
      <x:c r="J370" s="19" t="str">
        <x:v>Microsoft 365 Copilot and Microsoft 365 Premium; article also lists Personal and Family
Announcement does not give a full per-platform build matrix
GA. Announcement does not give a full per-platform build matrix. Microsoft 365 Copilot and Microsoft 365 Premium; article also lists Personal and Family.</x:v>
      </x:c>
      <x:c r="K370" s="19" t="str">
        <x:v>2026-04-22</x:v>
      </x:c>
      <x:c r="L370" s="25" t="str">
        <x:f>IFERROR(HYPERLINK("https://www.microsoft.com/en-us/copilot/blog/2026/04/22/copilots-agentic-capabilities-in-word-excel-and-powerpoint-are-generally-available/","Copilot’s agentic capabilities in Word, Excel, and PowerPoint are generally available"),"Copilot’s agentic capabilities in Word, Excel, and PowerPoint are generally available")</x:f>
        <x:v>Copilot’s agentic capabilities in Word, Excel, and PowerPoint are generally available</x:v>
      </x:c>
      <x:c r="M370" s="25"/>
      <x:c r="N370" s="20" t="d">
        <x:v>2026-04-22T00:00:00.000Z</x:v>
      </x:c>
      <x:c r="O370" s="20" t="d">
        <x:v>2026-10-16T00:00:00.000Z</x:v>
      </x:c>
      <x:c r="P370" s="24" t="str">
        <x:v>COP-CF4CB7FBFA</x:v>
      </x:c>
      <x:c r="Q370" s="19" t="str">
        <x:v>GA</x:v>
      </x:c>
      <x:c r="R370" s="19" t="str">
        <x:v>Checked 2026-10-16. Availability is the historical state stated by this source, not proof of availability for every tenant today. </x:v>
      </x:c>
      <x:c r="S370" s="19"/>
      <x:c r="T370" s="19"/>
      <x:c r="U370" s="20" t="d">
        <x:v>2026-04-22T00:00:00.000Z</x:v>
      </x:c>
    </x:row>
    <x:row r="371" ht="85" customHeight="1">
      <x:c r="A371" s="21" t="d">
        <x:v>2026-04-21T00:00:00.000Z</x:v>
      </x:c>
      <x:c r="B371" s="19" t="str">
        <x:v>Release-note report date. Documented GA rollout. Availability precision: Release window; exact day unknown</x:v>
      </x:c>
      <x:c r="C371" s="19" t="str">
        <x:v>Microsoft 365 admin center</x:v>
      </x:c>
      <x:c r="D371" s="19" t="str">
        <x:v>Admin control for AI video generation</x:v>
      </x:c>
      <x:c r="E371" s="19" t="str">
        <x:v>A dedicated setting controls access to supported AI video generation.</x:v>
      </x:c>
      <x:c r="F371" s="23" t="str">
        <x:v>Medium</x:v>
      </x:c>
      <x:c r="G371" s="19" t="str">
        <x:v>Align video-creation access with organizational review requirements.</x:v>
      </x:c>
      <x:c r="H371" s="19" t="str">
        <x:v>Controls access to a potentially consequential generation capability.</x:v>
      </x:c>
      <x:c r="I371" s="19" t="str">
        <x:v>GA feed; staged deployment</x:v>
      </x:c>
      <x:c r="J371" s="19" t="str">
        <x:v>Not specified in dated entry; verify tenant entitlement
Not stated
Gradual tenant rollout; exact per-user availability is not established. Licensing is not specified in this entry.</x:v>
      </x:c>
      <x:c r="K371" s="19" t="str">
        <x:v>2026-04-07 to 2026-04-21</x:v>
      </x:c>
      <x:c r="L371" s="25" t="str">
        <x:f>IFERROR(HYPERLINK("https://learn.microsoft.com/en-us/microsoft-365/copilot/release-notes#april-21-2026","Microsoft 365 Copilot release notes — April 21, 2026"),"Microsoft 365 Copilot release notes — April 21, 2026")</x:f>
        <x:v>Microsoft 365 Copilot release notes — April 21, 2026</x:v>
      </x:c>
      <x:c r="M371" s="25"/>
      <x:c r="N371" s="20" t="d">
        <x:v>2026-04-21T00:00:00.000Z</x:v>
      </x:c>
      <x:c r="O371" s="20" t="d">
        <x:v>2026-10-16T00:00:00.000Z</x:v>
      </x:c>
      <x:c r="P371" s="24" t="str">
        <x:v>COP-EF67F0C450</x:v>
      </x:c>
      <x:c r="Q371" s="19" t="str">
        <x:v>Documented GA rollout</x:v>
      </x:c>
      <x:c r="R371" s="19" t="str">
        <x:v>Source is the official GA/Current Channel release-note feed, checked 2026-10-16. Header date is documentation date; actual release is only bounded by the stated window. Window overlaps the April 16 scope boundary; exact release could predate April 16.</x:v>
      </x:c>
      <x:c r="S371" s="19"/>
      <x:c r="T371" s="19"/>
      <x:c r="U371" s="20"/>
    </x:row>
    <x:row r="372" ht="85" customHeight="1">
      <x:c r="A372" s="21" t="d">
        <x:v>2026-04-21T00:00:00.000Z</x:v>
      </x:c>
      <x:c r="B372" s="19" t="str">
        <x:v>Release-note report date. Documented GA rollout. Availability precision: Release window; exact day unknown</x:v>
      </x:c>
      <x:c r="C372" s="19" t="str">
        <x:v>Microsoft 365 Copilot Chat</x:v>
      </x:c>
      <x:c r="D372" s="19" t="str">
        <x:v>Interactive Bing answer cards</x:v>
      </x:c>
      <x:c r="E372" s="19" t="str">
        <x:v>Copilot Chat can show structured live web information in interactive cards.</x:v>
      </x:c>
      <x:c r="F372" s="23" t="str">
        <x:v>Low</x:v>
      </x:c>
      <x:c r="G372" s="19" t="str">
        <x:v>Check contextual weather information while planning business travel.</x:v>
      </x:c>
      <x:c r="H372" s="19" t="str">
        <x:v>Adds convenient structured information but limited new work automation.</x:v>
      </x:c>
      <x:c r="I372" s="19" t="str">
        <x:v>GA feed; staged deployment</x:v>
      </x:c>
      <x:c r="J372" s="19" t="str">
        <x:v>Not specified in dated entry; verify tenant entitlement
Windows, Web
Gradual tenant rollout; exact per-user availability is not established. Licensing is not specified in this entry.</x:v>
      </x:c>
      <x:c r="K372" s="19" t="str">
        <x:v>2026-04-07 to 2026-04-21</x:v>
      </x:c>
      <x:c r="L372" s="25" t="str">
        <x:f>IFERROR(HYPERLINK("https://learn.microsoft.com/en-us/microsoft-365/copilot/release-notes#april-21-2026","Microsoft 365 Copilot release notes — April 21, 2026"),"Microsoft 365 Copilot release notes — April 21, 2026")</x:f>
        <x:v>Microsoft 365 Copilot release notes — April 21, 2026</x:v>
      </x:c>
      <x:c r="M372" s="25"/>
      <x:c r="N372" s="20" t="d">
        <x:v>2026-04-21T00:00:00.000Z</x:v>
      </x:c>
      <x:c r="O372" s="20" t="d">
        <x:v>2026-10-16T00:00:00.000Z</x:v>
      </x:c>
      <x:c r="P372" s="24" t="str">
        <x:v>COP-2D2062429B</x:v>
      </x:c>
      <x:c r="Q372" s="19" t="str">
        <x:v>Documented GA rollout</x:v>
      </x:c>
      <x:c r="R372" s="19" t="str">
        <x:v>Source is the official GA/Current Channel release-note feed, checked 2026-10-16. Header date is documentation date; actual release is only bounded by the stated window. Window overlaps the April 16 scope boundary; exact release could predate April 16.</x:v>
      </x:c>
      <x:c r="S372" s="19"/>
      <x:c r="T372" s="19" t="str">
        <x:v>500865</x:v>
      </x:c>
      <x:c r="U372" s="20"/>
    </x:row>
    <x:row r="373" ht="100" customHeight="1">
      <x:c r="A373" s="21" t="d">
        <x:v>2026-04-21T00:00:00.000Z</x:v>
      </x:c>
      <x:c r="B373" s="19" t="str">
        <x:v>Release-note report date. Documented GA rollout. Availability precision: Release window; exact day unknown</x:v>
      </x:c>
      <x:c r="C373" s="19" t="str">
        <x:v>Microsoft 365 Copilot extensibility</x:v>
      </x:c>
      <x:c r="D373" s="19" t="str">
        <x:v>Share an agent with a Teams team</x:v>
      </x:c>
      <x:c r="E373" s="19" t="str">
        <x:v>Distribute an agent to a selected team with an optional channel notification.</x:v>
      </x:c>
      <x:c r="F373" s="23" t="str">
        <x:v>Medium</x:v>
      </x:c>
      <x:c r="G373" s="19" t="str">
        <x:v>Make a project-support agent discoverable to its intended users.</x:v>
      </x:c>
      <x:c r="H373" s="19" t="str">
        <x:v>Makes a shared agent easier for its intended team to discover.</x:v>
      </x:c>
      <x:c r="I373" s="19" t="str">
        <x:v>GA feed; staged deployment</x:v>
      </x:c>
      <x:c r="J373" s="19" t="str">
        <x:v>Not specified in dated entry; verify tenant entitlement
Web
Gradual tenant rollout; exact per-user availability is not established. Licensing is not specified in this entry.</x:v>
      </x:c>
      <x:c r="K373" s="19" t="str">
        <x:v>2026-04-07 to 2026-04-21</x:v>
      </x:c>
      <x:c r="L373" s="25" t="str">
        <x:f>IFERROR(HYPERLINK("https://learn.microsoft.com/en-us/microsoft-365/copilot/release-notes#april-21-2026","Microsoft 365 Copilot release notes — April 21, 2026"),"Microsoft 365 Copilot release notes — April 21, 2026")</x:f>
        <x:v>Microsoft 365 Copilot release notes — April 21, 2026</x:v>
      </x:c>
      <x:c r="M373" s="25"/>
      <x:c r="N373" s="20" t="d">
        <x:v>2026-04-21T00:00:00.000Z</x:v>
      </x:c>
      <x:c r="O373" s="20" t="d">
        <x:v>2026-10-16T00:00:00.000Z</x:v>
      </x:c>
      <x:c r="P373" s="24" t="str">
        <x:v>COP-EF838E7CC6</x:v>
      </x:c>
      <x:c r="Q373" s="19" t="str">
        <x:v>Documented GA rollout</x:v>
      </x:c>
      <x:c r="R373" s="19" t="str">
        <x:v>Source is the official GA/Current Channel release-note feed, checked 2026-10-16. Header date is documentation date; actual release is only bounded by the stated window. Window overlaps the April 16 scope boundary; exact release could predate April 16. Same feature/roadmap ID 557947 is repeated in the July 1 release notes; counted once here.</x:v>
      </x:c>
      <x:c r="S373" s="19"/>
      <x:c r="T373" s="19" t="str">
        <x:v>557947</x:v>
      </x:c>
      <x:c r="U373" s="20"/>
    </x:row>
    <x:row r="374" ht="100" customHeight="1">
      <x:c r="A374" s="21" t="d">
        <x:v>2026-04-16T00:00:00.000Z</x:v>
      </x:c>
      <x:c r="B374" s="19" t="str">
        <x:v>Available in preview surfaces; Excel rolling out. Availability precision: Exact announcement day; exact stated availability day</x:v>
      </x:c>
      <x:c r="C374" s="19" t="str">
        <x:v>Microsoft 365 Copilot / Excel / Cowork</x:v>
      </x:c>
      <x:c r="D374" s="19" t="str">
        <x:v>Claude Opus 4.7 rollout</x:v>
      </x:c>
      <x:c r="E374" s="19" t="str">
        <x:v>Add Opus 4.7 to supported model-selection surfaces.</x:v>
      </x:c>
      <x:c r="F374" s="23" t="str">
        <x:v>High</x:v>
      </x:c>
      <x:c r="G374" s="19" t="str">
        <x:v>Test complex Excel and delegated workflows against the newly available model.</x:v>
      </x:c>
      <x:c r="H374" s="19" t="str">
        <x:v>Affects model capability in multi-step analytical and agentic work.</x:v>
      </x:c>
      <x:c r="I374" s="19" t="str">
        <x:v>Available in preview surfaces; Excel rolling out</x:v>
      </x:c>
      <x:c r="J374" s="19" t="str">
        <x:v>Not specified in dated announcement; verify tenant entitlement
Cowork Frontier; Copilot Studio early-release; Excel rollout
Available in preview surfaces; Excel rolling out. Cowork Frontier; Copilot Studio early-release; Excel rollout. Not specified in dated announcement; verify tenant entitlement.</x:v>
      </x:c>
      <x:c r="K374" s="19" t="str">
        <x:v>2026-04-16</x:v>
      </x:c>
      <x:c r="L374" s="25" t="str">
        <x:f>IFERROR(HYPERLINK("https://techcommunity.microsoft.com/blog/microsoft365copilotblog/available-today-anthropic-claude-opus-4-7-in-microsoft-365-copilot/4511666","Available today: Anthropic Claude Opus 4.7 in Microsoft 365 Copilot"),"Available today: Anthropic Claude Opus 4.7 in Microsoft 365 Copilot")</x:f>
        <x:v>Available today: Anthropic Claude Opus 4.7 in Microsoft 365 Copilot</x:v>
      </x:c>
      <x:c r="M374" s="25"/>
      <x:c r="N374" s="20" t="d">
        <x:v>2026-04-16T00:00:00.000Z</x:v>
      </x:c>
      <x:c r="O374" s="20" t="d">
        <x:v>2026-10-16T00:00:00.000Z</x:v>
      </x:c>
      <x:c r="P374" s="24" t="str">
        <x:v>COP-6303A3DB9A</x:v>
      </x:c>
      <x:c r="Q374" s="19" t="str">
        <x:v>Available in preview surfaces; Excel rolling out</x:v>
      </x:c>
      <x:c r="R374" s="19" t="str">
        <x:v>Checked 2026-10-16. Availability is the historical state stated by this source, not proof of availability for every tenant today. </x:v>
      </x:c>
      <x:c r="S374" s="19"/>
      <x:c r="T374" s="19"/>
      <x:c r="U374" s="20" t="d">
        <x:v>2026-04-16T00:00:00.000Z</x:v>
      </x:c>
    </x:row>
    <x:row r="375" ht="120" customHeight="1">
      <x:c r="A375" s="21" t="d">
        <x:v>2026-10-27T00:00:00.000Z</x:v>
      </x:c>
      <x:c r="B375" s="19" t="str">
        <x:v>Release-note publication; releases covered October 13–27, not an exact individual launch date</x:v>
      </x:c>
      <x:c r="C375" s="19" t="str">
        <x:v>Viva Insights</x:v>
      </x:c>
      <x:c r="D375" s="19" t="str">
        <x:v>Expanded Copilot metrics</x:v>
      </x:c>
      <x:c r="E375" s="19" t="str">
        <x:v>More app actions and feature-level adoption metrics.</x:v>
      </x:c>
      <x:c r="F375" s="23" t="str">
        <x:v>Medium</x:v>
      </x:c>
      <x:c r="G375" s="19" t="str">
        <x:v>Target training using observed adoption</x:v>
      </x:c>
      <x:c r="H375" s="19" t="str">
        <x:v>Gives adoption leaders more specific evidence for training priorities.</x:v>
      </x:c>
      <x:c r="I375" s="19" t="str">
        <x:v>Released per GA release notes; gradual tenant deployment</x:v>
      </x:c>
      <x:c r="J375" s="19" t="str">
        <x:v>Web; exact licensing not established by this entry; account entitlement, region and rollout must be verified. No tenant access was tested.</x:v>
      </x:c>
      <x:c r="K375" s="19" t="str">
        <x:v>October 13–27, 2026 release batch</x:v>
      </x:c>
      <x:c r="L375" s="25" t="str">
        <x:f>IFERROR(HYPERLINK("https://learn.microsoft.com/en-us/microsoft-365/copilot/release-notes#october-27-2026","Microsoft 365 Copilot release notes"),"Microsoft 365 Copilot release notes")</x:f>
        <x:v>Microsoft 365 Copilot release notes</x:v>
      </x:c>
      <x:c r="M375" s="25"/>
      <x:c r="N375" s="20" t="d">
        <x:v>2026-10-27T00:00:00.000Z</x:v>
      </x:c>
      <x:c r="O375" s="20" t="d">
        <x:v>2026-10-30T00:00:00.000Z</x:v>
      </x:c>
      <x:c r="P375" s="24" t="str">
        <x:v>COP-3F8E3C3F64</x:v>
      </x:c>
      <x:c r="Q375" s="19" t="str">
        <x:v>Released per GA release notes; gradual tenant deployment</x:v>
      </x:c>
      <x:c r="R375" s="19" t="str">
        <x:v>Publication falls in weekly window; actual feature release may predate October 23. Do not infer universal tenant access.</x:v>
      </x:c>
      <x:c r="S375" s="19"/>
      <x:c r="T375" s="19" t="str">
        <x:v>557981</x:v>
      </x:c>
      <x:c r="U375" s="20" t="d">
        <x:v>2026-10-27T00:00:00.000Z</x:v>
      </x:c>
    </x:row>
    <x:row r="376" ht="120" customHeight="1">
      <x:c r="A376" s="21" t="d">
        <x:v>2026-10-27T00:00:00.000Z</x:v>
      </x:c>
      <x:c r="B376" s="19" t="str">
        <x:v>Release-note publication; releases covered October 13–27, not an exact individual launch date</x:v>
      </x:c>
      <x:c r="C376" s="19" t="str">
        <x:v>Copilot Notebooks</x:v>
      </x:c>
      <x:c r="D376" s="19" t="str">
        <x:v>Web-link references</x:v>
      </x:c>
      <x:c r="E376" s="19" t="str">
        <x:v>Web links can ground notebooks.</x:v>
      </x:c>
      <x:c r="F376" s="23" t="str">
        <x:v>High</x:v>
      </x:c>
      <x:c r="G376" s="19" t="str">
        <x:v>Include public research alongside project context</x:v>
      </x:c>
      <x:c r="H376" s="19" t="str">
        <x:v>Combines online research with project context without separate source copying.</x:v>
      </x:c>
      <x:c r="I376" s="19" t="str">
        <x:v>Released per GA release notes; gradual tenant deployment</x:v>
      </x:c>
      <x:c r="J376" s="19" t="str">
        <x:v>Web; exact licensing not established by this entry; account entitlement, region and rollout must be verified. No tenant access was tested.</x:v>
      </x:c>
      <x:c r="K376" s="19" t="str">
        <x:v>October 13–27, 2026 release batch</x:v>
      </x:c>
      <x:c r="L376" s="25" t="str">
        <x:f>IFERROR(HYPERLINK("https://learn.microsoft.com/en-us/microsoft-365/copilot/release-notes#october-27-2026","Microsoft 365 Copilot release notes"),"Microsoft 365 Copilot release notes")</x:f>
        <x:v>Microsoft 365 Copilot release notes</x:v>
      </x:c>
      <x:c r="M376" s="25"/>
      <x:c r="N376" s="20" t="d">
        <x:v>2026-10-27T00:00:00.000Z</x:v>
      </x:c>
      <x:c r="O376" s="20" t="d">
        <x:v>2026-10-30T00:00:00.000Z</x:v>
      </x:c>
      <x:c r="P376" s="24" t="str">
        <x:v>COP-B0D7A71CC7</x:v>
      </x:c>
      <x:c r="Q376" s="19" t="str">
        <x:v>Availability milestone</x:v>
      </x:c>
      <x:c r="R376" s="19" t="str">
        <x:v>Publication falls in weekly window; actual feature release may predate October 23. Do not infer universal tenant access. Earlier related record retained: COP-BD1BC1BDB5.</x:v>
      </x:c>
      <x:c r="S376" s="19" t="str">
        <x:v>COP-BD1BC1BDB5</x:v>
      </x:c>
      <x:c r="T376" s="19" t="str">
        <x:v>516040</x:v>
      </x:c>
      <x:c r="U376" s="20" t="d">
        <x:v>2026-10-27T00:00:00.000Z</x:v>
      </x:c>
    </x:row>
    <x:row r="377" ht="120" customHeight="1">
      <x:c r="A377" s="21" t="d">
        <x:v>2026-10-27T00:00:00.000Z</x:v>
      </x:c>
      <x:c r="B377" s="19" t="str">
        <x:v>Release-note publication; releases covered October 13–27, not an exact individual launch date</x:v>
      </x:c>
      <x:c r="C377" s="19" t="str">
        <x:v>Copilot Notebooks</x:v>
      </x:c>
      <x:c r="D377" s="19" t="str">
        <x:v>iOS persistent workspace</x:v>
      </x:c>
      <x:c r="E377" s="19" t="str">
        <x:v>Related chats, outputs and references remain together.</x:v>
      </x:c>
      <x:c r="F377" s="23" t="str">
        <x:v>High</x:v>
      </x:c>
      <x:c r="G377" s="19" t="str">
        <x:v>Resume projects without restating context</x:v>
      </x:c>
      <x:c r="H377" s="19" t="str">
        <x:v>Supports continuity for repeated mobile project work.</x:v>
      </x:c>
      <x:c r="I377" s="19" t="str">
        <x:v>Released per GA release notes; gradual tenant deployment</x:v>
      </x:c>
      <x:c r="J377" s="19" t="str">
        <x:v>iOS; exact licensing not established by this entry; account entitlement, region and rollout must be verified. No tenant access was tested.</x:v>
      </x:c>
      <x:c r="K377" s="19" t="str">
        <x:v>October 13–27, 2026 release batch</x:v>
      </x:c>
      <x:c r="L377" s="25" t="str">
        <x:f>IFERROR(HYPERLINK("https://learn.microsoft.com/en-us/microsoft-365/copilot/release-notes#october-27-2026","Microsoft 365 Copilot release notes"),"Microsoft 365 Copilot release notes")</x:f>
        <x:v>Microsoft 365 Copilot release notes</x:v>
      </x:c>
      <x:c r="M377" s="25"/>
      <x:c r="N377" s="20" t="d">
        <x:v>2026-10-27T00:00:00.000Z</x:v>
      </x:c>
      <x:c r="O377" s="20" t="d">
        <x:v>2026-10-30T00:00:00.000Z</x:v>
      </x:c>
      <x:c r="P377" s="24" t="str">
        <x:v>COP-5B1EBC362E</x:v>
      </x:c>
      <x:c r="Q377" s="19" t="str">
        <x:v>Availability milestone</x:v>
      </x:c>
      <x:c r="R377" s="19" t="str">
        <x:v>Publication falls in weekly window; actual feature release may predate October 23. Do not infer universal tenant access. Earlier related record retained: COP-58BBAFCF10.</x:v>
      </x:c>
      <x:c r="S377" s="19" t="str">
        <x:v>COP-58BBAFCF10</x:v>
      </x:c>
      <x:c r="T377" s="19" t="str">
        <x:v>566318</x:v>
      </x:c>
      <x:c r="U377" s="20" t="d">
        <x:v>2026-10-27T00:00:00.000Z</x:v>
      </x:c>
    </x:row>
    <x:row r="378" ht="120" customHeight="1">
      <x:c r="A378" s="21" t="d">
        <x:v>2026-10-27T00:00:00.000Z</x:v>
      </x:c>
      <x:c r="B378" s="19" t="str">
        <x:v>Release-note publication; releases covered October 13–27, not an exact individual launch date</x:v>
      </x:c>
      <x:c r="C378" s="19" t="str">
        <x:v>Researcher</x:v>
      </x:c>
      <x:c r="D378" s="19" t="str">
        <x:v>Canva connector</x:v>
      </x:c>
      <x:c r="E378" s="19" t="str">
        <x:v>Researcher can use connected Canva content.</x:v>
      </x:c>
      <x:c r="F378" s="23" t="str">
        <x:v>Medium</x:v>
      </x:c>
      <x:c r="G378" s="19" t="str">
        <x:v>Reduce cross-app research collection</x:v>
      </x:c>
      <x:c r="H378" s="19" t="str">
        <x:v>Reduces manual collection for teams using Canva.</x:v>
      </x:c>
      <x:c r="I378" s="19" t="str">
        <x:v>Released per GA release notes; gradual tenant deployment</x:v>
      </x:c>
      <x:c r="J378" s="19" t="str">
        <x:v>Web; exact licensing not established by this entry; account entitlement, region and rollout must be verified. No tenant access was tested. Requires enabled Canva connection and permitted source content.</x:v>
      </x:c>
      <x:c r="K378" s="19" t="str">
        <x:v>October 13–27, 2026 release batch</x:v>
      </x:c>
      <x:c r="L378" s="25" t="str">
        <x:f>IFERROR(HYPERLINK("https://learn.microsoft.com/en-us/microsoft-365/copilot/release-notes#october-27-2026","Microsoft 365 Copilot release notes"),"Microsoft 365 Copilot release notes")</x:f>
        <x:v>Microsoft 365 Copilot release notes</x:v>
      </x:c>
      <x:c r="M378" s="25"/>
      <x:c r="N378" s="20" t="d">
        <x:v>2026-10-27T00:00:00.000Z</x:v>
      </x:c>
      <x:c r="O378" s="20" t="d">
        <x:v>2026-10-30T00:00:00.000Z</x:v>
      </x:c>
      <x:c r="P378" s="24" t="str">
        <x:v>COP-2144277019</x:v>
      </x:c>
      <x:c r="Q378" s="19" t="str">
        <x:v>Released per GA release notes; gradual tenant deployment</x:v>
      </x:c>
      <x:c r="R378" s="19" t="str">
        <x:v>Publication falls in weekly window; actual feature release may predate October 23. Do not infer universal tenant access.</x:v>
      </x:c>
      <x:c r="S378" s="19"/>
      <x:c r="T378" s="19"/>
      <x:c r="U378" s="20" t="d">
        <x:v>2026-10-27T00:00:00.000Z</x:v>
      </x:c>
    </x:row>
    <x:row r="379" ht="120" customHeight="1">
      <x:c r="A379" s="21" t="d">
        <x:v>2026-10-27T00:00:00.000Z</x:v>
      </x:c>
      <x:c r="B379" s="19" t="str">
        <x:v>Release-note publication; releases covered October 13–27, not an exact individual launch date</x:v>
      </x:c>
      <x:c r="C379" s="19" t="str">
        <x:v>Microsoft 365 Copilot extensibility</x:v>
      </x:c>
      <x:c r="D379" s="19" t="str">
        <x:v>Custom MCP connectors</x:v>
      </x:c>
      <x:c r="E379" s="19" t="str">
        <x:v>Admins create and deploy organization-wide MCP connectors.</x:v>
      </x:c>
      <x:c r="F379" s="23" t="str">
        <x:v>High</x:v>
      </x:c>
      <x:c r="G379" s="19" t="str">
        <x:v>Ground assistance in proprietary systems</x:v>
      </x:c>
      <x:c r="H379" s="19" t="str">
        <x:v>Extends assistance to organization-specific systems after setup.</x:v>
      </x:c>
      <x:c r="I379" s="19" t="str">
        <x:v>Released per GA release notes; gradual tenant deployment</x:v>
      </x:c>
      <x:c r="J379" s="19" t="str">
        <x:v>Web; admin deployment; exact licensing not established by this entry; account entitlement, region and rollout must be verified. No tenant access was tested.</x:v>
      </x:c>
      <x:c r="K379" s="19" t="str">
        <x:v>October 13–27, 2026 release batch</x:v>
      </x:c>
      <x:c r="L379" s="25" t="str">
        <x:f>IFERROR(HYPERLINK("https://learn.microsoft.com/en-us/microsoft-365/copilot/release-notes#october-27-2026","Microsoft 365 Copilot release notes"),"Microsoft 365 Copilot release notes")</x:f>
        <x:v>Microsoft 365 Copilot release notes</x:v>
      </x:c>
      <x:c r="M379" s="25"/>
      <x:c r="N379" s="20" t="d">
        <x:v>2026-10-27T00:00:00.000Z</x:v>
      </x:c>
      <x:c r="O379" s="20" t="d">
        <x:v>2026-10-30T00:00:00.000Z</x:v>
      </x:c>
      <x:c r="P379" s="24" t="str">
        <x:v>COP-65D1DDDF85</x:v>
      </x:c>
      <x:c r="Q379" s="19" t="str">
        <x:v>Released per GA release notes; gradual tenant deployment</x:v>
      </x:c>
      <x:c r="R379" s="19" t="str">
        <x:v>Publication falls in weekly window; actual feature release may predate October 23. Do not infer universal tenant access.</x:v>
      </x:c>
      <x:c r="S379" s="19"/>
      <x:c r="T379" s="19" t="str">
        <x:v>501585</x:v>
      </x:c>
      <x:c r="U379" s="20" t="d">
        <x:v>2026-10-27T00:00:00.000Z</x:v>
      </x:c>
    </x:row>
    <x:row r="380" ht="120" customHeight="1">
      <x:c r="A380" s="21" t="d">
        <x:v>2026-10-27T00:00:00.000Z</x:v>
      </x:c>
      <x:c r="B380" s="19" t="str">
        <x:v>Release-note publication; releases covered October 13–27, not an exact individual launch date</x:v>
      </x:c>
      <x:c r="C380" s="19" t="str">
        <x:v>Microsoft 365 Copilot extensibility</x:v>
      </x:c>
      <x:c r="D380" s="19" t="str">
        <x:v>Rich search entity cards</x:v>
      </x:c>
      <x:c r="E380" s="19" t="str">
        <x:v>Connector results display metadata cards.</x:v>
      </x:c>
      <x:c r="F380" s="23" t="str">
        <x:v>Low</x:v>
      </x:c>
      <x:c r="G380" s="19" t="str">
        <x:v>Find the correct connected result faster</x:v>
      </x:c>
      <x:c r="H380" s="19" t="str">
        <x:v>Improves result recognition without adding a new work capability.</x:v>
      </x:c>
      <x:c r="I380" s="19" t="str">
        <x:v>Released per GA release notes; gradual tenant deployment</x:v>
      </x:c>
      <x:c r="J380" s="19" t="str">
        <x:v>Web; exact licensing not established by this entry; account entitlement, region and rollout must be verified. No tenant access was tested.</x:v>
      </x:c>
      <x:c r="K380" s="19" t="str">
        <x:v>October 13–27, 2026 release batch</x:v>
      </x:c>
      <x:c r="L380" s="25" t="str">
        <x:f>IFERROR(HYPERLINK("https://learn.microsoft.com/en-us/microsoft-365/copilot/release-notes#october-27-2026","Microsoft 365 Copilot release notes"),"Microsoft 365 Copilot release notes")</x:f>
        <x:v>Microsoft 365 Copilot release notes</x:v>
      </x:c>
      <x:c r="M380" s="25"/>
      <x:c r="N380" s="20" t="d">
        <x:v>2026-10-27T00:00:00.000Z</x:v>
      </x:c>
      <x:c r="O380" s="20" t="d">
        <x:v>2026-10-30T00:00:00.000Z</x:v>
      </x:c>
      <x:c r="P380" s="24" t="str">
        <x:v>COP-A3D4738653</x:v>
      </x:c>
      <x:c r="Q380" s="19" t="str">
        <x:v>Released per GA release notes; gradual tenant deployment</x:v>
      </x:c>
      <x:c r="R380" s="19" t="str">
        <x:v>Publication falls in weekly window; actual feature release may predate October 23. Do not infer universal tenant access.</x:v>
      </x:c>
      <x:c r="S380" s="19"/>
      <x:c r="T380" s="19" t="str">
        <x:v>502533</x:v>
      </x:c>
      <x:c r="U380" s="20" t="d">
        <x:v>2026-10-27T00:00:00.000Z</x:v>
      </x:c>
    </x:row>
    <x:row r="381" ht="120" customHeight="1">
      <x:c r="A381" s="21" t="d">
        <x:v>2026-10-27T00:00:00.000Z</x:v>
      </x:c>
      <x:c r="B381" s="19" t="str">
        <x:v>Release-note publication; releases covered October 13–27, not an exact individual launch date</x:v>
      </x:c>
      <x:c r="C381" s="19" t="str">
        <x:v>Work IQ</x:v>
      </x:c>
      <x:c r="D381" s="19" t="str">
        <x:v>Usage-based billing</x:v>
      </x:c>
      <x:c r="E381" s="19" t="str">
        <x:v>Agent/model requests can be metered without preassigned licenses.</x:v>
      </x:c>
      <x:c r="F381" s="23" t="str">
        <x:v>Medium</x:v>
      </x:c>
      <x:c r="G381" s="19" t="str">
        <x:v>Pilot integrations with usage-linked costs</x:v>
      </x:c>
      <x:c r="H381" s="19" t="str">
        <x:v>Reduces licensing administration for metered API pilots; indirect user benefit.</x:v>
      </x:c>
      <x:c r="I381" s="19" t="str">
        <x:v>Released per GA release notes; gradual tenant deployment</x:v>
      </x:c>
      <x:c r="J381" s="19" t="str">
        <x:v>Windows/Linux/Mac/Web; metered API requests without preassigned licenses per release note. Developer registration, billing setup and permissions required; rates/region not specified in this entry.</x:v>
      </x:c>
      <x:c r="K381" s="19" t="str">
        <x:v>October 13–27, 2026 release batch</x:v>
      </x:c>
      <x:c r="L381" s="25" t="str">
        <x:f>IFERROR(HYPERLINK("https://learn.microsoft.com/en-us/microsoft-365/copilot/release-notes#october-27-2026","Microsoft 365 Copilot release notes"),"Microsoft 365 Copilot release notes")</x:f>
        <x:v>Microsoft 365 Copilot release notes</x:v>
      </x:c>
      <x:c r="M381" s="25"/>
      <x:c r="N381" s="20" t="d">
        <x:v>2026-10-27T00:00:00.000Z</x:v>
      </x:c>
      <x:c r="O381" s="20" t="d">
        <x:v>2026-10-30T00:00:00.000Z</x:v>
      </x:c>
      <x:c r="P381" s="24" t="str">
        <x:v>COP-CBC25441B5</x:v>
      </x:c>
      <x:c r="Q381" s="19" t="str">
        <x:v>Released per GA release notes; gradual tenant deployment</x:v>
      </x:c>
      <x:c r="R381" s="19" t="str">
        <x:v>Publication falls in weekly window; actual feature release may predate October 23. Do not infer universal tenant access.</x:v>
      </x:c>
      <x:c r="S381" s="19"/>
      <x:c r="T381" s="19" t="str">
        <x:v>559017</x:v>
      </x:c>
      <x:c r="U381" s="20" t="d">
        <x:v>2026-10-27T00:00:00.000Z</x:v>
      </x:c>
    </x:row>
    <x:row r="382" ht="120" customHeight="1">
      <x:c r="A382" s="21" t="d">
        <x:v>2026-10-27T00:00:00.000Z</x:v>
      </x:c>
      <x:c r="B382" s="19" t="str">
        <x:v>Release-note publication; releases covered October 13–27, not an exact individual launch date</x:v>
      </x:c>
      <x:c r="C382" s="19" t="str">
        <x:v>Work IQ</x:v>
      </x:c>
      <x:c r="D382" s="19" t="str">
        <x:v>Declarative-agent access</x:v>
      </x:c>
      <x:c r="E382" s="19" t="str">
        <x:v>APIs invoke first-party and tenant-defined agents.</x:v>
      </x:c>
      <x:c r="F382" s="23" t="str">
        <x:v>High</x:v>
      </x:c>
      <x:c r="G382" s="19" t="str">
        <x:v>Automate specialized workflow steps</x:v>
      </x:c>
      <x:c r="H382" s="19" t="str">
        <x:v>Lets business applications invoke specialized agents in repeatable workflows.</x:v>
      </x:c>
      <x:c r="I382" s="19" t="str">
        <x:v>Released per GA release notes; gradual tenant deployment</x:v>
      </x:c>
      <x:c r="J382" s="19" t="str">
        <x:v>Web; developer setup; exact licensing not established by this entry; account entitlement, region and rollout must be verified. No tenant access was tested.</x:v>
      </x:c>
      <x:c r="K382" s="19" t="str">
        <x:v>October 13–27, 2026 release batch</x:v>
      </x:c>
      <x:c r="L382" s="25" t="str">
        <x:f>IFERROR(HYPERLINK("https://learn.microsoft.com/en-us/microsoft-365/copilot/release-notes#october-27-2026","Microsoft 365 Copilot release notes"),"Microsoft 365 Copilot release notes")</x:f>
        <x:v>Microsoft 365 Copilot release notes</x:v>
      </x:c>
      <x:c r="M382" s="25"/>
      <x:c r="N382" s="20" t="d">
        <x:v>2026-10-27T00:00:00.000Z</x:v>
      </x:c>
      <x:c r="O382" s="20" t="d">
        <x:v>2026-10-30T00:00:00.000Z</x:v>
      </x:c>
      <x:c r="P382" s="24" t="str">
        <x:v>COP-220E48DD40</x:v>
      </x:c>
      <x:c r="Q382" s="19" t="str">
        <x:v>Released per GA release notes; gradual tenant deployment</x:v>
      </x:c>
      <x:c r="R382" s="19" t="str">
        <x:v>Publication falls in weekly window; actual feature release may predate October 23. Do not infer universal tenant access.</x:v>
      </x:c>
      <x:c r="S382" s="19"/>
      <x:c r="T382" s="19" t="str">
        <x:v>559019</x:v>
      </x:c>
      <x:c r="U382" s="20" t="d">
        <x:v>2026-10-27T00:00:00.000Z</x:v>
      </x:c>
    </x:row>
    <x:row r="383" ht="120" customHeight="1">
      <x:c r="A383" s="21" t="d">
        <x:v>2026-10-27T00:00:00.000Z</x:v>
      </x:c>
      <x:c r="B383" s="19" t="str">
        <x:v>Release-note publication; releases covered October 13–27, not an exact individual launch date</x:v>
      </x:c>
      <x:c r="C383" s="19" t="str">
        <x:v>Copilot Notebooks / OneNote</x:v>
      </x:c>
      <x:c r="D383" s="19" t="str">
        <x:v>Android multimodal Notebook capture</x:v>
      </x:c>
      <x:c r="E383" s="19" t="str">
        <x:v>Combine audio transcription, images and typed notes.</x:v>
      </x:c>
      <x:c r="F383" s="23" t="str">
        <x:v>High</x:v>
      </x:c>
      <x:c r="G383" s="19" t="str">
        <x:v>Preserve workshop discussions and whiteboards together</x:v>
      </x:c>
      <x:c r="H383" s="19" t="str">
        <x:v>Turns mixed workshop inputs into an organized record.</x:v>
      </x:c>
      <x:c r="I383" s="19" t="str">
        <x:v>Released per GA release notes; gradual tenant deployment</x:v>
      </x:c>
      <x:c r="J383" s="19" t="str">
        <x:v>Android; exact licensing not established by this entry; account entitlement, region and rollout must be verified. No tenant access was tested.</x:v>
      </x:c>
      <x:c r="K383" s="19" t="str">
        <x:v>October 13–27, 2026 release batch</x:v>
      </x:c>
      <x:c r="L383" s="25" t="str">
        <x:f>IFERROR(HYPERLINK("https://learn.microsoft.com/en-us/microsoft-365/copilot/release-notes#october-27-2026","Microsoft 365 Copilot release notes"),"Microsoft 365 Copilot release notes")</x:f>
        <x:v>Microsoft 365 Copilot release notes</x:v>
      </x:c>
      <x:c r="M383" s="25"/>
      <x:c r="N383" s="20" t="d">
        <x:v>2026-10-27T00:00:00.000Z</x:v>
      </x:c>
      <x:c r="O383" s="20" t="d">
        <x:v>2026-10-30T00:00:00.000Z</x:v>
      </x:c>
      <x:c r="P383" s="24" t="str">
        <x:v>COP-6413C99B03</x:v>
      </x:c>
      <x:c r="Q383" s="19" t="str">
        <x:v>Availability milestone</x:v>
      </x:c>
      <x:c r="R383" s="19" t="str">
        <x:v>Publication falls in weekly window; actual feature release may predate October 23. Do not infer universal tenant access. Earlier related record retained: COP-29C56B074B.</x:v>
      </x:c>
      <x:c r="S383" s="19" t="str">
        <x:v>COP-29C56B074B</x:v>
      </x:c>
      <x:c r="T383" s="19" t="str">
        <x:v>567895</x:v>
      </x:c>
      <x:c r="U383" s="20" t="d">
        <x:v>2026-10-27T00:00:00.000Z</x:v>
      </x:c>
    </x:row>
    <x:row r="384" ht="120" customHeight="1">
      <x:c r="A384" s="21" t="d">
        <x:v>2026-10-27T00:00:00.000Z</x:v>
      </x:c>
      <x:c r="B384" s="19" t="str">
        <x:v>Release-note publication; releases covered October 13–27, not an exact individual launch date</x:v>
      </x:c>
      <x:c r="C384" s="19" t="str">
        <x:v>Outlook</x:v>
      </x:c>
      <x:c r="D384" s="19" t="str">
        <x:v>Classic Outlook Copilot settings</x:v>
      </x:c>
      <x:c r="E384" s="19" t="str">
        <x:v>Settings accessible inside classic Outlook.</x:v>
      </x:c>
      <x:c r="F384" s="23" t="str">
        <x:v>Low</x:v>
      </x:c>
      <x:c r="G384" s="19" t="str">
        <x:v>Configure assistance without switching applications</x:v>
      </x:c>
      <x:c r="H384" s="19" t="str">
        <x:v>Small convenience improvement for configuring existing assistance.</x:v>
      </x:c>
      <x:c r="I384" s="19" t="str">
        <x:v>Released per GA release notes; gradual tenant deployment</x:v>
      </x:c>
      <x:c r="J384" s="19" t="str">
        <x:v>Windows; classic Outlook; exact licensing not established by this entry; account entitlement, region and rollout must be verified. No tenant access was tested.</x:v>
      </x:c>
      <x:c r="K384" s="19" t="str">
        <x:v>October 13–27, 2026 release batch</x:v>
      </x:c>
      <x:c r="L384" s="25" t="str">
        <x:f>IFERROR(HYPERLINK("https://learn.microsoft.com/en-us/microsoft-365/copilot/release-notes#october-27-2026","Microsoft 365 Copilot release notes"),"Microsoft 365 Copilot release notes")</x:f>
        <x:v>Microsoft 365 Copilot release notes</x:v>
      </x:c>
      <x:c r="M384" s="25"/>
      <x:c r="N384" s="20" t="d">
        <x:v>2026-10-27T00:00:00.000Z</x:v>
      </x:c>
      <x:c r="O384" s="20" t="d">
        <x:v>2026-10-30T00:00:00.000Z</x:v>
      </x:c>
      <x:c r="P384" s="24" t="str">
        <x:v>COP-B0A6F57189</x:v>
      </x:c>
      <x:c r="Q384" s="19" t="str">
        <x:v>Availability milestone</x:v>
      </x:c>
      <x:c r="R384" s="19" t="str">
        <x:v>Publication falls in weekly window; actual feature release may predate October 23. Do not infer universal tenant access. Earlier related record retained: COP-F6DC967817.</x:v>
      </x:c>
      <x:c r="S384" s="19" t="str">
        <x:v>COP-F6DC967817</x:v>
      </x:c>
      <x:c r="T384" s="19" t="str">
        <x:v>561491</x:v>
      </x:c>
      <x:c r="U384" s="20" t="d">
        <x:v>2026-10-27T00:00:00.000Z</x:v>
      </x:c>
    </x:row>
    <x:row r="385" ht="120" customHeight="1">
      <x:c r="A385" s="21" t="d">
        <x:v>2026-10-27T00:00:00.000Z</x:v>
      </x:c>
      <x:c r="B385" s="19" t="str">
        <x:v>Release-note publication; releases covered October 13–27, not an exact individual launch date</x:v>
      </x:c>
      <x:c r="C385" s="19" t="str">
        <x:v>PowerPoint</x:v>
      </x:c>
      <x:c r="D385" s="19" t="str">
        <x:v>Reference deck styling</x:v>
      </x:c>
      <x:c r="E385" s="19" t="str">
        <x:v>Apply an attached deck’s theme and styles.</x:v>
      </x:c>
      <x:c r="F385" s="23" t="str">
        <x:v>High</x:v>
      </x:c>
      <x:c r="G385" s="19" t="str">
        <x:v>Reduce brand-formatting cleanup</x:v>
      </x:c>
      <x:c r="H385" s="19" t="str">
        <x:v>Reduces manual brand formatting when creating a deck from a reference.</x:v>
      </x:c>
      <x:c r="I385" s="19" t="str">
        <x:v>Released per GA release notes; gradual tenant deployment</x:v>
      </x:c>
      <x:c r="J385" s="19" t="str">
        <x:v>Windows/Web; exact licensing not established by this entry; account entitlement, region and rollout must be verified. No tenant access was tested.</x:v>
      </x:c>
      <x:c r="K385" s="19" t="str">
        <x:v>October 13–27, 2026 release batch</x:v>
      </x:c>
      <x:c r="L385" s="25" t="str">
        <x:f>IFERROR(HYPERLINK("https://learn.microsoft.com/en-us/microsoft-365/copilot/release-notes#october-27-2026","Microsoft 365 Copilot release notes"),"Microsoft 365 Copilot release notes")</x:f>
        <x:v>Microsoft 365 Copilot release notes</x:v>
      </x:c>
      <x:c r="M385" s="25"/>
      <x:c r="N385" s="20" t="d">
        <x:v>2026-10-27T00:00:00.000Z</x:v>
      </x:c>
      <x:c r="O385" s="20" t="d">
        <x:v>2026-10-30T00:00:00.000Z</x:v>
      </x:c>
      <x:c r="P385" s="24" t="str">
        <x:v>COP-B003AC79F2</x:v>
      </x:c>
      <x:c r="Q385" s="19" t="str">
        <x:v>Availability milestone</x:v>
      </x:c>
      <x:c r="R385" s="19" t="str">
        <x:v>Publication falls in weekly window; actual feature release may predate October 23. Do not infer universal tenant access. Earlier related record retained: COP-F2A6949BB6. Separate roadmap item 555879 for attached-deck theme/styles; prior July record covered slide reuse (555887/555889/555892).</x:v>
      </x:c>
      <x:c r="S385" s="19" t="str">
        <x:v>COP-F2A6949BB6</x:v>
      </x:c>
      <x:c r="T385" s="19" t="str">
        <x:v>555879</x:v>
      </x:c>
      <x:c r="U385" s="20" t="d">
        <x:v>2026-10-27T00:00:00.000Z</x:v>
      </x:c>
    </x:row>
    <x:row r="386" ht="120" customHeight="1">
      <x:c r="A386" s="21" t="d">
        <x:v>2026-10-27T00:00:00.000Z</x:v>
      </x:c>
      <x:c r="B386" s="19" t="str">
        <x:v>Release-note publication; releases covered October 13–27, not an exact individual launch date</x:v>
      </x:c>
      <x:c r="C386" s="19" t="str">
        <x:v>PowerPoint</x:v>
      </x:c>
      <x:c r="D386" s="19" t="str">
        <x:v>Image references</x:v>
      </x:c>
      <x:c r="E386" s="19" t="str">
        <x:v>Attach an image during presentation creation.</x:v>
      </x:c>
      <x:c r="F386" s="23" t="str">
        <x:v>Medium</x:v>
      </x:c>
      <x:c r="G386" s="19" t="str">
        <x:v>Use visual inputs when drafting presentations</x:v>
      </x:c>
      <x:c r="H386" s="19" t="str">
        <x:v>Adds useful visual grounding to presentation creation.</x:v>
      </x:c>
      <x:c r="I386" s="19" t="str">
        <x:v>Released per GA release notes; gradual tenant deployment</x:v>
      </x:c>
      <x:c r="J386" s="19" t="str">
        <x:v>Windows/Web; exact licensing not established by this entry; account entitlement, region and rollout must be verified. No tenant access was tested.</x:v>
      </x:c>
      <x:c r="K386" s="19" t="str">
        <x:v>October 13–27, 2026 release batch</x:v>
      </x:c>
      <x:c r="L386" s="25" t="str">
        <x:f>IFERROR(HYPERLINK("https://learn.microsoft.com/en-us/microsoft-365/copilot/release-notes#october-27-2026","Microsoft 365 Copilot release notes"),"Microsoft 365 Copilot release notes")</x:f>
        <x:v>Microsoft 365 Copilot release notes</x:v>
      </x:c>
      <x:c r="M386" s="25"/>
      <x:c r="N386" s="20" t="d">
        <x:v>2026-10-27T00:00:00.000Z</x:v>
      </x:c>
      <x:c r="O386" s="20" t="d">
        <x:v>2026-10-30T00:00:00.000Z</x:v>
      </x:c>
      <x:c r="P386" s="24" t="str">
        <x:v>COP-9430F2451F</x:v>
      </x:c>
      <x:c r="Q386" s="19" t="str">
        <x:v>Released per GA release notes; gradual tenant deployment</x:v>
      </x:c>
      <x:c r="R386" s="19" t="str">
        <x:v>Publication falls in weekly window; actual feature release may predate October 23. Do not infer universal tenant access.</x:v>
      </x:c>
      <x:c r="S386" s="19"/>
      <x:c r="T386" s="19" t="str">
        <x:v>555882</x:v>
      </x:c>
      <x:c r="U386" s="20" t="d">
        <x:v>2026-10-27T00:00:00.000Z</x:v>
      </x:c>
    </x:row>
    <x:row r="387" ht="120" customHeight="1">
      <x:c r="A387" s="21" t="d">
        <x:v>2026-10-27T00:00:00.000Z</x:v>
      </x:c>
      <x:c r="B387" s="19" t="str">
        <x:v>Release-note publication; releases covered October 13–27, not an exact individual launch date</x:v>
      </x:c>
      <x:c r="C387" s="19" t="str">
        <x:v>Teams</x:v>
      </x:c>
      <x:c r="D387" s="19" t="str">
        <x:v>Queues post-call Copilot Chat</x:v>
      </x:c>
      <x:c r="E387" s="19" t="str">
        <x:v>Query and summarize recorded calls from Recap.</x:v>
      </x:c>
      <x:c r="F387" s="23" t="str">
        <x:v>High</x:v>
      </x:c>
      <x:c r="G387" s="19" t="str">
        <x:v>Accelerate customer-call review and follow-up</x:v>
      </x:c>
      <x:c r="H387" s="19" t="str">
        <x:v>Makes recorded customer calls easier to review and follow up.</x:v>
      </x:c>
      <x:c r="I387" s="19" t="str">
        <x:v>Released per GA release notes; gradual tenant deployment</x:v>
      </x:c>
      <x:c r="J387" s="19" t="str">
        <x:v>Windows/Mac; Queues access requires Teams Phone and Teams Premium with voice enabled. Copilot access, recording/transcription and policy permissions also required. Per-tenant rollout varies.</x:v>
      </x:c>
      <x:c r="K387" s="19" t="str">
        <x:v>October 13–27, 2026 release batch</x:v>
      </x:c>
      <x:c r="L387" s="25" t="str">
        <x:f>IFERROR(HYPERLINK("https://learn.microsoft.com/en-us/microsoft-365/copilot/release-notes#october-27-2026","Microsoft 365 Copilot release notes"),"Microsoft 365 Copilot release notes")</x:f>
        <x:v>Microsoft 365 Copilot release notes</x:v>
      </x:c>
      <x:c r="M387" s="25" t="str">
        <x:f>IFERROR(HYPERLINK("https://learn.microsoft.com/en-us/microsoftteams/enhanced-teams-experience","Supporting Microsoft documentation"),"Supporting Microsoft documentation")</x:f>
        <x:v>Supporting Microsoft documentation</x:v>
      </x:c>
      <x:c r="N387" s="20" t="d">
        <x:v>2026-10-27T00:00:00.000Z</x:v>
      </x:c>
      <x:c r="O387" s="20" t="d">
        <x:v>2026-10-30T00:00:00.000Z</x:v>
      </x:c>
      <x:c r="P387" s="24" t="str">
        <x:v>COP-8FC7A62E0E</x:v>
      </x:c>
      <x:c r="Q387" s="19" t="str">
        <x:v>Released per GA release notes; gradual tenant deployment</x:v>
      </x:c>
      <x:c r="R387" s="19" t="str">
        <x:v>Publication falls in weekly window; actual feature release may predate October 23. Do not infer universal tenant access.</x:v>
      </x:c>
      <x:c r="S387" s="19"/>
      <x:c r="T387" s="19" t="str">
        <x:v>568933</x:v>
      </x:c>
      <x:c r="U387" s="20" t="d">
        <x:v>2026-10-27T00:00:00.000Z</x:v>
      </x:c>
    </x:row>
    <x:row r="388" ht="120" customHeight="1">
      <x:c r="A388" s="21" t="d">
        <x:v>2026-10-27T00:00:00.000Z</x:v>
      </x:c>
      <x:c r="B388" s="19" t="str">
        <x:v>Source report date; source updated October 29. Actual availability day unspecified.</x:v>
      </x:c>
      <x:c r="C388" s="19" t="str">
        <x:v>Excel</x:v>
      </x:c>
      <x:c r="D388" s="19" t="str">
        <x:v>Skill recorder available on desktop preview and web</x:v>
      </x:c>
      <x:c r="E388" s="19" t="str">
        <x:v>Reusable workflow recording reaches Windows/Mac Insiders and general availability on web.</x:v>
      </x:c>
      <x:c r="F388" s="23" t="str">
        <x:v>High</x:v>
      </x:c>
      <x:c r="G388" s="19" t="str">
        <x:v>Record a recurring workbook process once instead of repeating it.</x:v>
      </x:c>
      <x:c r="H388" s="19" t="str">
        <x:v>Moves a previously planned automation capability into usable release channels.</x:v>
      </x:c>
      <x:c r="I388" s="19" t="str">
        <x:v>Insiders (Windows/Mac); GA (web)</x:v>
      </x:c>
      <x:c r="J388" s="19" t="str">
        <x:v>Eligible Copilot in Excel; Windows/Mac Insider channels; web GA. Verify tenant entitlement.</x:v>
      </x:c>
      <x:c r="K388" s="19" t="str">
        <x:v>Available as reported October 27, updated October 29</x:v>
      </x:c>
      <x:c r="L388" s="25" t="str">
        <x:f>IFERROR(HYPERLINK("https://techcommunity.microsoft.com/blog/excelblog/whats-new-in-excel-october-2026/4549758","What's New in Excel (October 2026)"),"What's New in Excel (October 2026)")</x:f>
        <x:v>What's New in Excel (October 2026)</x:v>
      </x:c>
      <x:c r="M388" s="25"/>
      <x:c r="N388" s="20" t="d">
        <x:v>2026-10-27T00:00:00.000Z</x:v>
      </x:c>
      <x:c r="O388" s="20" t="d">
        <x:v>2026-10-30T00:00:00.000Z</x:v>
      </x:c>
      <x:c r="P388" s="24" t="str">
        <x:v>COP-E738F1973B</x:v>
      </x:c>
      <x:c r="Q388" s="19" t="str">
        <x:v>Availability milestone</x:v>
      </x:c>
      <x:c r="R388" s="19" t="str">
        <x:v>Availability milestone, not a new feature announcement; preserves earlier planned record.</x:v>
      </x:c>
      <x:c r="S388" s="19" t="str">
        <x:v>COP-BBC1312A5A</x:v>
      </x:c>
      <x:c r="T388" s="19"/>
      <x:c r="U388" s="20" t="d">
        <x:v>2026-10-27T00:00:00.000Z</x:v>
      </x:c>
    </x:row>
    <x:row r="389" ht="120" customHeight="1">
      <x:c r="A389" s="21" t="d">
        <x:v>2026-10-27T00:00:00.000Z</x:v>
      </x:c>
      <x:c r="B389" s="19" t="str">
        <x:v>Source report date; source updated October 29. Actual availability day unspecified.</x:v>
      </x:c>
      <x:c r="C389" s="19" t="str">
        <x:v>Excel</x:v>
      </x:c>
      <x:c r="D389" s="19" t="str">
        <x:v>Get Data skill available on web</x:v>
      </x:c>
      <x:c r="E389" s="19" t="str">
        <x:v>Conversational Power Query data import and preparation now available on web.</x:v>
      </x:c>
      <x:c r="F389" s="23" t="str">
        <x:v>High</x:v>
      </x:c>
      <x:c r="G389" s="19" t="str">
        <x:v>Prepare refreshable datasets without manually designing every query step.</x:v>
      </x:c>
      <x:c r="H389" s="19" t="str">
        <x:v>Confirms practical access to a previously planned data-preparation workflow.</x:v>
      </x:c>
      <x:c r="I389" s="19" t="str">
        <x:v>Available (web); GA label not explicit in recap</x:v>
      </x:c>
      <x:c r="J389" s="19" t="str">
        <x:v>Eligible Copilot in Excel on web; data-source authentication may be required.</x:v>
      </x:c>
      <x:c r="K389" s="19" t="str">
        <x:v>Available as reported October 27, updated October 29</x:v>
      </x:c>
      <x:c r="L389" s="25" t="str">
        <x:f>IFERROR(HYPERLINK("https://techcommunity.microsoft.com/blog/excelblog/whats-new-in-excel-october-2026/4549758","What's New in Excel (October 2026)"),"What's New in Excel (October 2026)")</x:f>
        <x:v>What's New in Excel (October 2026)</x:v>
      </x:c>
      <x:c r="M389" s="25"/>
      <x:c r="N389" s="20" t="d">
        <x:v>2026-10-27T00:00:00.000Z</x:v>
      </x:c>
      <x:c r="O389" s="20" t="d">
        <x:v>2026-10-30T00:00:00.000Z</x:v>
      </x:c>
      <x:c r="P389" s="24" t="str">
        <x:v>COP-A1AD27895A</x:v>
      </x:c>
      <x:c r="Q389" s="19" t="str">
        <x:v>Availability milestone</x:v>
      </x:c>
      <x:c r="R389" s="19" t="str">
        <x:v>Prior source forecast mid-October GA rollout. Recap confirms web access, not exact rollout/completion day.</x:v>
      </x:c>
      <x:c r="S389" s="19" t="str">
        <x:v>COP-4AA811200E</x:v>
      </x:c>
      <x:c r="T389" s="19"/>
      <x:c r="U389" s="20" t="d">
        <x:v>2026-10-27T00:00:00.000Z</x:v>
      </x:c>
    </x:row>
    <x:row r="390" ht="120" customHeight="1">
      <x:c r="A390" s="21" t="d">
        <x:v>2026-10-26T00:00:00.000Z</x:v>
      </x:c>
      <x:c r="B390" s="19" t="str">
        <x:v>Announcement date; November start has month precision only.</x:v>
      </x:c>
      <x:c r="C390" s="19" t="str">
        <x:v>Frontier / Microsoft 365 administration</x:v>
      </x:c>
      <x:c r="D390" s="19" t="str">
        <x:v>Frontier expands beyond Copilot previews</x:v>
      </x:c>
      <x:c r="E390" s="19" t="str">
        <x:v>Planned unified previews add new Outlook for Windows, OneDrive, SharePoint and Teams.</x:v>
      </x:c>
      <x:c r="F390" s="23" t="str">
        <x:v>Medium</x:v>
      </x:c>
      <x:c r="G390" s="19" t="str">
        <x:v>Use one pilot enrollment process to prepare teams for upcoming changes.</x:v>
      </x:c>
      <x:c r="H390" s="19" t="str">
        <x:v>Simplifies preview governance rather than adding end-user functionality.</x:v>
      </x:c>
      <x:c r="I390" s="19" t="str">
        <x:v>Planned program expansion</x:v>
      </x:c>
      <x:c r="J390" s="19" t="str">
        <x:v>Optional admin-selected users/groups. Product licenses required; Copilot license not required merely to enroll. Existing Copilot Frontier users need no re-enrollment; Targeted release users are not automatically enrolled.</x:v>
      </x:c>
      <x:c r="K390" s="19" t="str">
        <x:v>Starting November 2026</x:v>
      </x:c>
      <x:c r="L390" s="25" t="str">
        <x:f>IFERROR(HYPERLINK("https://techcommunity.microsoft.com/blog/microsoft-copilot-blog/frontier-expands-to-more-microsoft-365-public-previews/4567243","Frontier expands to more Microsoft 365 public previews"),"Frontier expands to more Microsoft 365 public previews")</x:f>
        <x:v>Frontier expands to more Microsoft 365 public previews</x:v>
      </x:c>
      <x:c r="M390" s="25"/>
      <x:c r="N390" s="20" t="d">
        <x:v>2026-10-26T00:00:00.000Z</x:v>
      </x:c>
      <x:c r="O390" s="20" t="d">
        <x:v>2026-10-30T00:00:00.000Z</x:v>
      </x:c>
      <x:c r="P390" s="24" t="str">
        <x:v>COP-E6C85FBB18</x:v>
      </x:c>
      <x:c r="Q390" s="19" t="str">
        <x:v>Planned program expansion</x:v>
      </x:c>
      <x:c r="R390" s="19" t="str">
        <x:v>Separate from Standard/Deferred GA release preferences. Not a claim all listed previews ship in October.</x:v>
      </x:c>
      <x:c r="S390" s="19"/>
      <x:c r="T390" s="19"/>
      <x:c r="U390" s="20" t="d">
        <x:v>2026-10-26T00:00:00.000Z</x:v>
      </x:c>
    </x:row>
    <x:row r="391" ht="120" customHeight="1">
      <x:c r="A391" s="21" t="d">
        <x:v>2026-10-25T00:00:00.000Z</x:v>
      </x:c>
      <x:c r="B391" s="19" t="str">
        <x:v>Announcement date from official blog index; preview documented earlier, not first release day.</x:v>
      </x:c>
      <x:c r="C391" s="19" t="str">
        <x:v>Copilot Cowork</x:v>
      </x:c>
      <x:c r="D391" s="19" t="str">
        <x:v>Power Platform Admin plugin preview</x:v>
      </x:c>
      <x:c r="E391" s="19" t="str">
        <x:v>Ask tenant-governance questions and turn findings into Cowork reports or follow-up drafts.</x:v>
      </x:c>
      <x:c r="F391" s="23" t="str">
        <x:v>Medium</x:v>
      </x:c>
      <x:c r="G391" s="19" t="str">
        <x:v>Investigate ownership, usage and capacity without manually joining several exports.</x:v>
      </x:c>
      <x:c r="H391" s="19" t="str">
        <x:v>Reduces specialist governance reporting effort; not autonomous administration.</x:v>
      </x:c>
      <x:c r="I391" s="19" t="str">
        <x:v>Preview</x:v>
      </x:c>
      <x:c r="J391" s="19" t="str">
        <x:v>Admin-installed plugin; separate Cowork access/spending policy; Power Platform for Admins V2 connection. Data account requires Global, Power Platform or Dynamics 365 Administrator role. Questions consume Copilot Credits.</x:v>
      </x:c>
      <x:c r="K391" s="19" t="str">
        <x:v>Preview documented by October 17; October 25 announcement</x:v>
      </x:c>
      <x:c r="L391" s="25" t="str">
        <x:f>IFERROR(HYPERLINK("https://techcommunity.microsoft.com/blog/copilot-studio-blog/introducing-the-power-platform-admin-plugin-in-cowork-agentic-governance-with-na/4567557","Introducing the Power Platform Admin Plugin in Cowork: Agentic Governance with Natural Language"),"Introducing the Power Platform Admin Plugin in Cowork: Agentic Governance with Natural Language")</x:f>
        <x:v>Introducing the Power Platform Admin Plugin in Cowork: Agentic Governance with Natural Language</x:v>
      </x:c>
      <x:c r="M391" s="25" t="str">
        <x:f>IFERROR(HYPERLINK("https://learn.microsoft.com/en-us/power-platform/admin/power-platform-admin-cowork","Supporting Microsoft documentation"),"Supporting Microsoft documentation")</x:f>
        <x:v>Supporting Microsoft documentation</x:v>
      </x:c>
      <x:c r="N391" s="20" t="d">
        <x:v>2026-10-25T00:00:00.000Z</x:v>
      </x:c>
      <x:c r="O391" s="20" t="d">
        <x:v>2026-10-30T00:00:00.000Z</x:v>
      </x:c>
      <x:c r="P391" s="24" t="str">
        <x:v>COP-F09AF5703B</x:v>
      </x:c>
      <x:c r="Q391" s="19" t="str">
        <x:v>Preview</x:v>
      </x:c>
      <x:c r="R391" s="19" t="str">
        <x:v>Official index verifies publication; blog body unavailable through web extraction. Learn explicitly says read-only, not independent administrative changes; managed environments not required. Sources: https://learn.microsoft.com/en-us/power-platform/admin/power-platform-admin-cowork and https://learn.microsoft.com/en-us/power-platform/guidance/adoption/agentic-governance . Reject third-party GA label.</x:v>
      </x:c>
      <x:c r="S391" s="19"/>
      <x:c r="T391" s="19"/>
      <x:c r="U391" s="20" t="d">
        <x:v>2026-10-25T00:00:00.000Z</x:v>
      </x:c>
    </x:row>
    <x:row r="392" ht="120" customHeight="1">
      <x:c r="A392" s="21" t="d">
        <x:v>2026-10-23T00:00:00.000Z</x:v>
      </x:c>
      <x:c r="B392" s="19" t="str">
        <x:v>Announcement/report date, not established first availability day.</x:v>
      </x:c>
      <x:c r="C392" s="19" t="str">
        <x:v>Work IQ / Power Apps</x:v>
      </x:c>
      <x:c r="D392" s="19" t="str">
        <x:v>Agentic business-skill authoring</x:v>
      </x:c>
      <x:c r="E392" s="19" t="str">
        <x:v>Business-skill authoring adds AI-assisted editing, version history and security improvements.</x:v>
      </x:c>
      <x:c r="F392" s="23" t="str">
        <x:v>Medium</x:v>
      </x:c>
      <x:c r="G392" s="19" t="str">
        <x:v>Codify repeatable business procedures for agents with less manual setup.</x:v>
      </x:c>
      <x:c r="H392" s="19" t="str">
        <x:v>Reusable instructions can improve consistent task execution.</x:v>
      </x:c>
      <x:c r="I392" s="19" t="str">
        <x:v>Public preview</x:v>
      </x:c>
      <x:c r="J392" s="19" t="str">
        <x:v>Work IQ-enabled Dataverse environment; skill permissions and supported agent/MCP access; licensing requirements apply.</x:v>
      </x:c>
      <x:c r="K392" s="19" t="str">
        <x:v>Public preview reported October 23</x:v>
      </x:c>
      <x:c r="L392" s="25" t="str">
        <x:f>IFERROR(HYPERLINK("https://www.microsoft.com/en-us/power-platform/blog/2026/10/23/dataverse-and-workiq-ppcc-2026/","AI that understands your business: Dataverse and Work IQ at PPCC 2026"),"AI that understands your business: Dataverse and Work IQ at PPCC 2026")</x:f>
        <x:v>AI that understands your business: Dataverse and Work IQ at PPCC 2026</x:v>
      </x:c>
      <x:c r="M392" s="25"/>
      <x:c r="N392" s="20" t="d">
        <x:v>2026-10-23T00:00:00.000Z</x:v>
      </x:c>
      <x:c r="O392" s="20" t="d">
        <x:v>2026-10-30T00:00:00.000Z</x:v>
      </x:c>
      <x:c r="P392" s="24" t="str">
        <x:v>COP-73905793F5</x:v>
      </x:c>
      <x:c r="Q392" s="19" t="str">
        <x:v>Public preview</x:v>
      </x:c>
      <x:c r="R392" s="19" t="str">
        <x:v>Specific authoring enhancement, not a new launch of all Business Applications in Work IQ. https://learn.microsoft.com/en-us/power-apps/maker/data-platform/data-platform-business-skills</x:v>
      </x:c>
      <x:c r="S392" s="19"/>
      <x:c r="T392" s="19"/>
      <x:c r="U392" s="20" t="d">
        <x:v>2026-10-23T00:00:00.000Z</x:v>
      </x:c>
    </x:row>
    <x:row r="393" ht="120" customHeight="1">
      <x:c r="A393" s="21" t="d">
        <x:v>2026-10-23T00:00:00.000Z</x:v>
      </x:c>
      <x:c r="B393" s="19" t="str">
        <x:v>Announcement/report date, not established first availability day.</x:v>
      </x:c>
      <x:c r="C393" s="19" t="str">
        <x:v>Copilot Studio / Work IQ</x:v>
      </x:c>
      <x:c r="D393" s="19" t="str">
        <x:v>Business-app context in Work IQ for Studio</x:v>
      </x:c>
      <x:c r="E393" s="19" t="str">
        <x:v>Studio agents gain Dynamics 365 and Power Apps business context through Work IQ.</x:v>
      </x:c>
      <x:c r="F393" s="23" t="str">
        <x:v>High</x:v>
      </x:c>
      <x:c r="G393" s="19" t="str">
        <x:v>Ground operational agents in business records alongside work context.</x:v>
      </x:c>
      <x:c r="H393" s="19" t="str">
        <x:v>Broadens evidence available for cross-system tasks.</x:v>
      </x:c>
      <x:c r="I393" s="19" t="str">
        <x:v>Business apps workload public preview</x:v>
      </x:c>
      <x:c r="J393" s="19" t="str">
        <x:v>GitHub Copilot harness; enable preview workloads and Business apps; source permissions/admin setup; Copilot Credits. Work IQ itself is GA in Studio.</x:v>
      </x:c>
      <x:c r="K393" s="19" t="str">
        <x:v>Public preview reported October 23</x:v>
      </x:c>
      <x:c r="L393" s="25" t="str">
        <x:f>IFERROR(HYPERLINK("https://www.microsoft.com/en-us/power-platform/blog/2026/10/23/dataverse-and-workiq-ppcc-2026/","AI that understands your business: Dataverse and Work IQ at PPCC 2026"),"AI that understands your business: Dataverse and Work IQ at PPCC 2026")</x:f>
        <x:v>AI that understands your business: Dataverse and Work IQ at PPCC 2026</x:v>
      </x:c>
      <x:c r="M393" s="25" t="str">
        <x:f>IFERROR(HYPERLINK("https://learn.microsoft.com/en-us/microsoft-copilot-studio/agents-experience/add-work-iq","Supporting Microsoft documentation"),"Supporting Microsoft documentation")</x:f>
        <x:v>Supporting Microsoft documentation</x:v>
      </x:c>
      <x:c r="N393" s="20" t="d">
        <x:v>2026-10-23T00:00:00.000Z</x:v>
      </x:c>
      <x:c r="O393" s="20" t="d">
        <x:v>2026-10-30T00:00:00.000Z</x:v>
      </x:c>
      <x:c r="P393" s="24" t="str">
        <x:v>COP-523C20EE14</x:v>
      </x:c>
      <x:c r="Q393" s="19" t="str">
        <x:v>Business apps workload public preview</x:v>
      </x:c>
      <x:c r="R393" s="19" t="str">
        <x:v>Do not mislabel entire Work IQ service as preview. Supporting reference distinguishes GA service from preview workload.</x:v>
      </x:c>
      <x:c r="S393" s="19"/>
      <x:c r="T393" s="19"/>
      <x:c r="U393" s="20" t="d">
        <x:v>2026-10-23T00:00:00.000Z</x:v>
      </x:c>
    </x:row>
    <x:row r="394" ht="120" customHeight="1">
      <x:c r="A394" s="21" t="d">
        <x:v>2026-10-23T00:00:00.000Z</x:v>
      </x:c>
      <x:c r="B394" s="19" t="str">
        <x:v>Announcement/report date; supporting documentation dated October 21.</x:v>
      </x:c>
      <x:c r="C394" s="19" t="str">
        <x:v>Copilot Cowork</x:v>
      </x:c>
      <x:c r="D394" s="19" t="str">
        <x:v>Business Apps plugin public preview</x:v>
      </x:c>
      <x:c r="E394" s="19" t="str">
        <x:v>Cowork can use business context and permitted actions across Dynamics 365 and Power Apps.</x:v>
      </x:c>
      <x:c r="F394" s="23" t="str">
        <x:v>High</x:v>
      </x:c>
      <x:c r="G394" s="19" t="str">
        <x:v>Investigate customer context and prepare operational updates in one workflow.</x:v>
      </x:c>
      <x:c r="H394" s="19" t="str">
        <x:v>Connects delegated tasks to governed business systems.</x:v>
      </x:c>
      <x:c r="I394" s="19" t="str">
        <x:v>Public preview</x:v>
      </x:c>
      <x:c r="J394" s="19" t="str">
        <x:v>Admin installs Business apps (preview); user connects account; Cowork and source-app licenses, permissions and policies apply.</x:v>
      </x:c>
      <x:c r="K394" s="19" t="str">
        <x:v>Public preview reported October 23; documented October 21</x:v>
      </x:c>
      <x:c r="L394" s="25" t="str">
        <x:f>IFERROR(HYPERLINK("https://www.microsoft.com/en-us/power-platform/blog/2026/10/23/dataverse-and-workiq-ppcc-2026/","AI that understands your business: Dataverse and Work IQ at PPCC 2026"),"AI that understands your business: Dataverse and Work IQ at PPCC 2026")</x:f>
        <x:v>AI that understands your business: Dataverse and Work IQ at PPCC 2026</x:v>
      </x:c>
      <x:c r="M394" s="25" t="str">
        <x:f>IFERROR(HYPERLINK("https://learn.microsoft.com/en-us/copilot/cowork/cowork-work-iq","Supporting Microsoft documentation"),"Supporting Microsoft documentation")</x:f>
        <x:v>Supporting Microsoft documentation</x:v>
      </x:c>
      <x:c r="N394" s="20" t="d">
        <x:v>2026-10-23T00:00:00.000Z</x:v>
      </x:c>
      <x:c r="O394" s="20" t="d">
        <x:v>2026-10-30T00:00:00.000Z</x:v>
      </x:c>
      <x:c r="P394" s="24" t="str">
        <x:v>COP-A12D166F0A</x:v>
      </x:c>
      <x:c r="Q394" s="19" t="str">
        <x:v>Availability milestone</x:v>
      </x:c>
      <x:c r="R394" s="19" t="str">
        <x:v>Specific Work IQ integration, distinct from generic Power Platform connector rollout.</x:v>
      </x:c>
      <x:c r="S394" s="19" t="str">
        <x:v>COP-931192706D</x:v>
      </x:c>
      <x:c r="T394" s="19"/>
      <x:c r="U394" s="20" t="d">
        <x:v>2026-10-23T00:00:00.000Z</x:v>
      </x:c>
    </x:row>
    <x:row r="395" ht="120" customHeight="1">
      <x:c r="A395" s="21" t="d">
        <x:v>2026-10-28T00:00:00.000Z</x:v>
      </x:c>
      <x:c r="B395" s="19" t="str">
        <x:v>Detailed announcement date; availability already reported October 23.</x:v>
      </x:c>
      <x:c r="C395" s="19" t="str">
        <x:v>Copilot Cowork</x:v>
      </x:c>
      <x:c r="D395" s="19" t="str">
        <x:v>Dataverse plugin in Cowork</x:v>
      </x:c>
      <x:c r="E395" s="19" t="str">
        <x:v>Connect an environment to model tables, manipulate data and build governed apps.</x:v>
      </x:c>
      <x:c r="F395" s="23" t="str">
        <x:v>High</x:v>
      </x:c>
      <x:c r="G395" s="19" t="str">
        <x:v>Prototype a business app using existing governed records rather than separate mock data.</x:v>
      </x:c>
      <x:c r="H395" s="19" t="str">
        <x:v>Reduces handoffs between data modeling and app construction.</x:v>
      </x:c>
      <x:c r="I395" s="19" t="str">
        <x:v>Available in Cowork; app building Frontier; runtime preview</x:v>
      </x:c>
      <x:c r="J395" s="19" t="str">
        <x:v>Cowork access; Dataverse environment and user security roles. App building requires Frontier enrollment; published apps use Copilot Managed Runtime (preview).</x:v>
      </x:c>
      <x:c r="K395" s="19" t="str">
        <x:v>Available by October 23; detailed October 28 announcement</x:v>
      </x:c>
      <x:c r="L395" s="25" t="str">
        <x:f>IFERROR(HYPERLINK("https://www.microsoft.com/en-us/power-platform/blog/2026/10/28/dataverse-plugin-copilot-cowork/","From one prompt to a governed Dataverse app: the Dataverse plugin lands in Copilot Cowork"),"From one prompt to a governed Dataverse app: the Dataverse plugin lands in Copilot Cowork")</x:f>
        <x:v>From one prompt to a governed Dataverse app: the Dataverse plugin lands in Copilot Cowork</x:v>
      </x:c>
      <x:c r="M395" s="25"/>
      <x:c r="N395" s="20" t="d">
        <x:v>2026-10-28T00:00:00.000Z</x:v>
      </x:c>
      <x:c r="O395" s="20" t="d">
        <x:v>2026-10-30T00:00:00.000Z</x:v>
      </x:c>
      <x:c r="P395" s="24" t="str">
        <x:v>COP-A5F53BB885</x:v>
      </x:c>
      <x:c r="Q395" s="19" t="str">
        <x:v>Available in Cowork; app building Frontier; runtime preview</x:v>
      </x:c>
      <x:c r="R395" s="19" t="str">
        <x:v>Single record consolidates October 23/28 reports. Changes require approval and run under user permissions. Do not infer plugin GA from 'available'.</x:v>
      </x:c>
      <x:c r="S395" s="19"/>
      <x:c r="T395" s="19"/>
      <x:c r="U395" s="20" t="d">
        <x:v>2026-10-28T00:00:00.000Z</x:v>
      </x:c>
    </x:row>
    <x:row r="396" ht="120" customHeight="1">
      <x:c r="A396" s="21" t="d">
        <x:v>2026-10-26T00:00:00.000Z</x:v>
      </x:c>
      <x:c r="B396" s="19" t="str">
        <x:v>Detailed announcement date; capability already reported October 23.</x:v>
      </x:c>
      <x:c r="C396" s="19" t="str">
        <x:v>Copilot extensibility / Dataverse MCP</x:v>
      </x:c>
      <x:c r="D396" s="19" t="str">
        <x:v>Dataverse MCP custom API invocation</x:v>
      </x:c>
      <x:c r="E396" s="19" t="str">
        <x:v>Agents discover and invoke existing custom APIs via search, describe and invoke_api.</x:v>
      </x:c>
      <x:c r="F396" s="23" t="str">
        <x:v>Medium</x:v>
      </x:c>
      <x:c r="G396" s="19" t="str">
        <x:v>Reuse a validated transactional business operation instead of assembling many separate writes.</x:v>
      </x:c>
      <x:c r="H396" s="19" t="str">
        <x:v>Improves reliability of specialist agent integrations.</x:v>
      </x:c>
      <x:c r="I396" s="19" t="str">
        <x:v>Available per announcement; GA label not explicit</x:v>
      </x:c>
      <x:c r="J396" s="19" t="str">
        <x:v>Configured Dataverse MCP client and published custom API; existing Dataverse permissions and platform prerequisites. Legacy Custom Actions unsupported.</x:v>
      </x:c>
      <x:c r="K396" s="19" t="str">
        <x:v>Supported by October 23; detailed October 26 report</x:v>
      </x:c>
      <x:c r="L396" s="25" t="str">
        <x:f>IFERROR(HYPERLINK("https://www.microsoft.com/en-us/power-platform/blog/2026/10/26/custom-apis-just-landed-in-the-dataverse-mcp-server-agents-just-got-smarter/","Custom APIs just landed in the Dataverse MCP Server, Agents just got smarter"),"Custom APIs just landed in the Dataverse MCP Server, Agents just got smarter")</x:f>
        <x:v>Custom APIs just landed in the Dataverse MCP Server, Agents just got smarter</x:v>
      </x:c>
      <x:c r="M396" s="25"/>
      <x:c r="N396" s="20" t="d">
        <x:v>2026-10-26T00:00:00.000Z</x:v>
      </x:c>
      <x:c r="O396" s="20" t="d">
        <x:v>2026-10-30T00:00:00.000Z</x:v>
      </x:c>
      <x:c r="P396" s="24" t="str">
        <x:v>COP-88AB793306</x:v>
      </x:c>
      <x:c r="Q396" s="19" t="str">
        <x:v>Available per announcement; GA label not explicit</x:v>
      </x:c>
      <x:c r="R396" s="19" t="str">
        <x:v>Single record consolidates October 23/26 reports. Transaction guarantees depend on server-side custom API implementation; not all agent activity becomes atomic.</x:v>
      </x:c>
      <x:c r="S396" s="19"/>
      <x:c r="T396" s="19"/>
      <x:c r="U396" s="20" t="d">
        <x:v>2026-10-26T00:00:00.000Z</x:v>
      </x:c>
    </x:row>
  </x:sheetData>
  <x:conditionalFormatting sqref="F11:F374">
    <x:cfRule type="containsText" dxfId="9" priority="1" operator="containsText" text="High"/>
    <x:cfRule type="containsText" dxfId="10" priority="2" operator="containsText" text="Medium"/>
    <x:cfRule type="containsText" dxfId="11" priority="3" operator="containsText" text="Low"/>
  </x:conditionalFormatting>
  <x:conditionalFormatting sqref="F375:F396">
    <x:cfRule type="containsText" dxfId="15" priority="4" operator="containsText" text="High"/>
    <x:cfRule type="containsText" dxfId="16" priority="5" operator="containsText" text="Medium"/>
    <x:cfRule type="containsText" dxfId="17" priority="6" operator="containsText" text="Low"/>
  </x:conditionalFormatting>
  <x:dataValidations count="3">
    <x:dataValidation type="list" sqref="F11:F361">
      <x:formula1>"High,Medium,Low"</x:formula1>
    </x:dataValidation>
    <x:dataValidation type="list" sqref="F362:F374">
      <x:formula1>"High,Medium,Low"</x:formula1>
    </x:dataValidation>
    <x:dataValidation type="list" sqref="F375:F396">
      <x:formula1>"High,Medium,Low"</x:formula1>
    </x:dataValidation>
  </x:dataValidations>
  <x:pageMargins left="0.7" right="0.7" top="0.75" bottom="0.75" header="0.3" footer="0.3"/>
  <x:tableParts count="1">
    <x:tablePart xmlns:r="http://schemas.openxmlformats.org/officeDocument/2006/relationships" r:id="R74fbbba51fbd4480"/>
  </x:tableParts>
</x:worksheet>
</file>

<file path=xl/worksheets/sheet3.xml><?xml version="1.0" encoding="utf-8"?>
<x:worksheet xmlns:x="http://schemas.openxmlformats.org/spreadsheetml/2006/main">
  <x:sheetPr>
    <x:tabColor rgb="FF8193A6"/>
  </x:sheetPr>
  <x:sheetViews>
    <x:sheetView showGridLines="0" workbookViewId="0"/>
  </x:sheetViews>
  <x:sheetFormatPr defaultRowHeight="15"/>
  <x:cols>
    <x:col min="1" max="1" width="26" hidden="0" customWidth="1"/>
    <x:col min="2" max="2" width="99" hidden="0" customWidth="1"/>
  </x:cols>
  <x:sheetData>
    <x:row r="1" ht="9" customHeight="1">
      <x:c r="A1" s="26"/>
      <x:c r="B1" s="26"/>
    </x:row>
    <x:row r="2" ht="29" customHeight="1">
      <x:c r="A2" s="27" t="str">
        <x:v>Method and coverage</x:v>
      </x:c>
      <x:c r="B2" s="27"/>
    </x:row>
    <x:row r="3">
      <x:c r="A3" s="28" t="str">
        <x:v>As of 30 October 2026</x:v>
      </x:c>
      <x:c r="B3" s="28"/>
    </x:row>
    <x:row r="4">
      <x:c r="A4" s="29"/>
      <x:c r="B4" s="29"/>
    </x:row>
    <x:row r="5">
      <x:c r="A5" s="26"/>
      <x:c r="B5" s="26"/>
    </x:row>
    <x:row r="6" ht="55" customHeight="1">
      <x:c r="A6" s="30" t="str">
        <x:v>Coverage period</x:v>
      </x:c>
      <x:c r="B6" s="19" t="str">
        <x:v>16 April to 30 October 2026, inclusive. Records use the most precise date supported by the source. A dated reporting batch may cover releases earlier than its publication date.</x:v>
      </x:c>
    </x:row>
    <x:row r="7" ht="55" customHeight="1">
      <x:c r="A7" s="30" t="str">
        <x:v>Scope</x:v>
      </x:c>
      <x:c r="B7" s="19" t="str">
        <x:v>Microsoft 365 Copilot and Copilot Chat, app-specific work features, agents, and directly relevant Copilot Studio or consumer Copilot changes. Product names in each record distinguish the account and business context.</x:v>
      </x:c>
    </x:row>
    <x:row r="8" ht="55" customHeight="1">
      <x:c r="A8" s="30" t="str">
        <x:v>Completeness</x:v>
      </x:c>
      <x:c r="B8" s="19" t="str">
        <x:v>This is a detailed public-source research log, not an exhaustive tenant change history. Absence of a record does not prove no change occurred. Tenant Message Center notices and account-specific rollout states are outside this research.</x:v>
      </x:c>
    </x:row>
    <x:row r="9">
      <x:c r="A9" s="26"/>
      <x:c r="B9" s="26"/>
    </x:row>
    <x:row r="10" ht="25" customHeight="1">
      <x:c r="A10" s="32" t="str">
        <x:v>Impact rating</x:v>
      </x:c>
      <x:c r="B10" s="32"/>
    </x:row>
    <x:row r="11" ht="55" customHeight="1">
      <x:c r="A11" s="30" t="str">
        <x:v>High</x:v>
      </x:c>
      <x:c r="B11" s="19" t="str">
        <x:v>A substantial new capability or workflow improvement with strong potential to reduce recurring work for many business users, or materially improve creation, analysis, meetings, research or multi-step task completion.</x:v>
      </x:c>
    </x:row>
    <x:row r="12" ht="55" customHeight="1">
      <x:c r="A12" s="30" t="str">
        <x:v>Medium</x:v>
      </x:c>
      <x:c r="B12" s="19" t="str">
        <x:v>A useful improvement to an existing workflow, a meaningful benefit for a narrower role or workload, or an indirect productivity enabler whose value depends on setup and adoption.</x:v>
      </x:c>
    </x:row>
    <x:row r="13" ht="55" customHeight="1">
      <x:c r="A13" s="30" t="str">
        <x:v>Low</x:v>
      </x:c>
      <x:c r="B13" s="19" t="str">
        <x:v>A small usability change, a limited-scope enhancement, or a mainly administrative, promotional or technical change with little immediate effect on typical everyday business work.</x:v>
      </x:c>
    </x:row>
    <x:row r="14" ht="55" customHeight="1">
      <x:c r="A14" s="30" t="str">
        <x:v>How to read ratings</x:v>
      </x:c>
      <x:c r="B14" s="19" t="str">
        <x:v>Ratings are analytical judgments for business-productivity training, not Microsoft ratings or measured time savings. The reason and practical example explain each assessment. Examples are suggested uses, not claims of results achieved.</x:v>
      </x:c>
    </x:row>
    <x:row r="15">
      <x:c r="A15" s="26"/>
      <x:c r="B15" s="26"/>
    </x:row>
    <x:row r="16" ht="25" customHeight="1">
      <x:c r="A16" s="32" t="str">
        <x:v>Dates and availability</x:v>
      </x:c>
      <x:c r="B16" s="32"/>
    </x:row>
    <x:row r="17" ht="65" customHeight="1">
      <x:c r="A17" s="30" t="str">
        <x:v>Date of change / report</x:v>
      </x:c>
      <x:c r="B17" s="19" t="str">
        <x:v>Uses a confirmed event date when available; otherwise the source reporting or announcement date. Date basis / precision and the release / reporting window preserve that distinction. A batch date is never proof of an exact tenant launch day.</x:v>
      </x:c>
    </x:row>
    <x:row r="18" ht="55" customHeight="1">
      <x:c r="A18" s="30" t="str">
        <x:v>Release status</x:v>
      </x:c>
      <x:c r="B18" s="19" t="str">
        <x:v>Announcement, preview, rollout and general availability are different milestones. Eligibility can depend on account, license, app version, geography, language, administrator policy and staged rollout.</x:v>
      </x:c>
    </x:row>
    <x:row r="19" ht="48" customHeight="1">
      <x:c r="A19" s="30" t="str">
        <x:v>Source dates</x:v>
      </x:c>
      <x:c r="B19" s="19" t="str">
        <x:v>Source publication date identifies the supporting page or release-note batch when known. Date checked records this review date. A source checked today may describe a past or future rollout.</x:v>
      </x:c>
    </x:row>
    <x:row r="20" ht="55" customHeight="1">
      <x:c r="A20" s="30" t="str">
        <x:v>Availability check</x:v>
      </x:c>
      <x:c r="B20" s="19" t="str">
        <x:v>Before demonstrating a feature, test it in the intended account and app. In particular, Copilot Chat access does not imply Microsoft 365 Copilot licensing, and consumer Copilot features do not imply work-tenant availability.</x:v>
      </x:c>
    </x:row>
    <x:row r="21">
      <x:c r="A21" s="26"/>
      <x:c r="B21" s="26"/>
    </x:row>
    <x:row r="22" ht="25" customHeight="1">
      <x:c r="A22" s="32" t="str">
        <x:v>Keeping the log current</x:v>
      </x:c>
      <x:c r="B22" s="32"/>
    </x:row>
    <x:row r="23" ht="55" customHeight="1">
      <x:c r="A23" s="30" t="str">
        <x:v>Append changes</x:v>
      </x:c>
      <x:c r="B23" s="19" t="str">
        <x:v>Add each distinct capability as a new table row, with its stable Change ID, date, date basis, primary Microsoft source and Date checked. Keep older history when the next six-month window advances.</x:v>
      </x:c>
    </x:row>
    <x:row r="24" ht="55" customHeight="1">
      <x:c r="A24" s="30" t="str">
        <x:v>Avoid duplicates</x:v>
      </x:c>
      <x:c r="B24" s="19" t="str">
        <x:v>When a later source repeats the same release, update the existing record with the corroborating source. Add a new linked record only for a material status or capability change, such as preview to general availability.</x:v>
      </x:c>
    </x:row>
    <x:row r="25" ht="48" customHeight="1">
      <x:c r="A25" s="30" t="str">
        <x:v>Preserve evidence</x:v>
      </x:c>
      <x:c r="B25" s="19" t="str">
        <x:v>Keep the original date basis when revising a record. Record corrections and prior status in Evidence and date notes. Related change ID links a material later milestone to its predecessor.</x:v>
      </x:c>
    </x:row>
    <x:row r="26" ht="48" customHeight="1">
      <x:c r="A26" s="30" t="str">
        <x:v>Use the filters</x:v>
      </x:c>
      <x:c r="B26" s="19" t="str">
        <x:v>Filter Productivity impact for High to choose training candidates. Then filter Product / area and Availability / status. Freeze panes retain the date and headers while scrolling. Counts above the log cover all recorded rows.</x:v>
      </x:c>
    </x:row>
    <x:row r="27">
      <x:c r="A27" s="26"/>
      <x:c r="B27" s="26"/>
    </x:row>
    <x:row r="28" ht="25" customHeight="1">
      <x:c r="A28" s="32" t="str">
        <x:v>Research coverage</x:v>
      </x:c>
      <x:c r="B28" s="32"/>
    </x:row>
    <x:row r="29" ht="57" customHeight="1">
      <x:c r="A29" s="30" t="str">
        <x:v>Sources reviewed</x:v>
      </x:c>
      <x:c r="B29" s="19" t="str">
        <x:v>Microsoft monthly Copilot updates for April through September, dated product announcements through 30 October, Microsoft 365 Copilot release notes including the October 27 batch, Excel October recap and supporting Microsoft documentation. Each record links to its primary evidence.</x:v>
      </x:c>
    </x:row>
    <x:row r="30" ht="57" customHeight="1">
      <x:c r="A30" s="30" t="str">
        <x:v>April boundary</x:v>
      </x:c>
      <x:c r="B30" s="19" t="str">
        <x:v>The 21 April release-note window and April-month recaps can include releases before 16 April. Those records retain the stated window and boundary uncertainty rather than asserting an exact in-period launch day.</x:v>
      </x:c>
    </x:row>
    <x:row r="31" ht="57" customHeight="1">
      <x:c r="A31" s="30" t="str">
        <x:v>Historical availability</x:v>
      </x:c>
      <x:c r="B31" s="19" t="str">
        <x:v>Monthly recaps and documentation pages can change after publication. Where announcements and later release notes disagree on timing, the record preserves the source dates and qualifications. Planned availability is not presented as a confirmed launch.</x:v>
      </x:c>
    </x:row>
    <x:row r="32" ht="57" customHeight="1">
      <x:c r="A32" s="30" t="str">
        <x:v>Source inconsistencies</x:v>
      </x:c>
      <x:c r="B32" s="19" t="str">
        <x:v>An unrelated connector paragraph in an Outlook grounding entry and an unrelated PostgreSQL link in an Edge entry were not used as evidence. Repeated Teams agent-sharing entries were consolidated.</x:v>
      </x:c>
    </x:row>
    <x:row r="33" ht="57" customHeight="1">
      <x:c r="A33" s="30" t="str">
        <x:v>Product scope</x:v>
      </x:c>
      <x:c r="B33" s="19" t="str">
        <x:v>Copilot Studio features are included where they affect practical business work. A full engineering release history for Copilot Studio, Security Copilot or GitHub Copilot is outside this tracker.</x:v>
      </x:c>
    </x:row>
    <x:row r="34" ht="57" customHeight="1">
      <x:c r="A34" s="30" t="str">
        <x:v>Tenant access</x:v>
      </x:c>
      <x:c r="B34" s="19" t="str">
        <x:v>Licensing, language, region, app build and staged-rollout limits are stated when established by the source. Public announcements do not verify that a feature is enabled in a particular account.</x:v>
      </x:c>
    </x:row>
    <x:row r="35" ht="57" customHeight="1">
      <x:c r="A35" s="30" t="str">
        <x:v>Release-note coverage</x:v>
      </x:c>
      <x:c r="B35" s="19" t="str">
        <x:v>All 79 extracted entries in the July 29 to October 6 Microsoft release-note batches were reviewed. Repeated mentions and out-of-scope material were reconciled rather than counted as new features.</x:v>
      </x:c>
    </x:row>
    <x:row r="36" ht="55" customHeight="1">
      <x:c r="A36" s="30" t="str">
        <x:v>Record deduplication</x:v>
      </x:c>
      <x:c r="B36" s="19" t="str">
        <x:v>7 repeated record(s) merged during consolidation. Distinct capability changes and material availability milestones remain separate. Related change IDs connect later milestones to earlier records.</x:v>
      </x:c>
    </x:row>
    <x:row r="37" ht="48" customHeight="1">
      <x:c r="A37" s="30" t="str">
        <x:v>Excluded material</x:v>
      </x:c>
      <x:c r="B37" s="19" t="str">
        <x:v>Unsupported future claims, undated generic feature descriptions, and irrelevant GitHub Copilot developer features are not counted as verified changes.</x:v>
      </x:c>
    </x:row>
    <x:row r="38" ht="86" customHeight="1">
      <x:c r="A38" s="30" t="str">
        <x:v>23 October update</x:v>
      </x:c>
      <x:c r="B38" s="19" t="str">
        <x:v>13 records added; 3 earlier records clarified or linked. No new GA release-note batch after October 6 was found. Planned dates remain qualified; OneDrive event timing and Work IQ/Code documentation conflicts are explicit. All 351 prior IDs and historical rows retained.</x:v>
      </x:c>
    </x:row>
    <x:row r="39" ht="100" customHeight="1">
      <x:c r="A39" s="30" t="str">
        <x:v>30 October update</x:v>
      </x:c>
      <x:c r="B39" s="19" t="str">
        <x:v>22 records added; one earlier Learning agent record corroborated rather than duplicated. All 364 prior IDs retained. October 27 release notes cover October 13–27, not exact launch days. Planned November Frontier expansion stays planned. Public website verified as 23 October / 364 records; not published by this update. Third-party-only Message Center claims excluded.</x:v>
      </x:c>
    </x:row>
    <x:row r="40">
      <x:c r="A40" s="26"/>
      <x:c r="B40" s="26"/>
    </x:row>
    <x:row r="41">
      <x:c r="A41" s="26"/>
      <x:c r="B41" s="26"/>
    </x:row>
    <x:row r="42">
      <x:c r="A42" s="26"/>
      <x:c r="B42" s="26"/>
    </x:row>
    <x:row r="43">
      <x:c r="A43" s="26"/>
      <x:c r="B43" s="26"/>
    </x:row>
    <x:row r="44">
      <x:c r="A44" s="26"/>
      <x:c r="B44" s="26"/>
    </x:row>
    <x:row r="45">
      <x:c r="A45" s="26"/>
      <x:c r="B45" s="26"/>
    </x:row>
    <x:row r="46">
      <x:c r="A46" s="26"/>
      <x:c r="B46" s="26"/>
    </x:row>
    <x:row r="47">
      <x:c r="A47" s="26"/>
      <x:c r="B47" s="26"/>
    </x:row>
    <x:row r="48">
      <x:c r="A48" s="26"/>
      <x:c r="B48" s="26"/>
    </x:row>
    <x:row r="49">
      <x:c r="A49" s="26"/>
      <x:c r="B49" s="26"/>
    </x:row>
    <x:row r="50">
      <x:c r="A50" s="26"/>
      <x:c r="B50" s="26"/>
    </x:row>
    <x:row r="51">
      <x:c r="A51" s="26"/>
      <x:c r="B51" s="26"/>
    </x:row>
    <x:row r="52">
      <x:c r="A52" s="26"/>
      <x:c r="B52" s="26"/>
    </x:row>
    <x:row r="53">
      <x:c r="A53" s="26"/>
      <x:c r="B53" s="26"/>
    </x:row>
    <x:row r="54">
      <x:c r="A54" s="26"/>
      <x:c r="B54" s="26"/>
    </x:row>
    <x:row r="55">
      <x:c r="A55" s="26"/>
      <x:c r="B55" s="26"/>
    </x:row>
    <x:row r="56">
      <x:c r="A56" s="26"/>
      <x:c r="B56" s="26"/>
    </x:row>
    <x:row r="57">
      <x:c r="A57" s="26"/>
      <x:c r="B57" s="26"/>
    </x:row>
    <x:row r="58">
      <x:c r="A58" s="26"/>
      <x:c r="B58" s="26"/>
    </x:row>
    <x:row r="59">
      <x:c r="A59" s="26"/>
      <x:c r="B59" s="26"/>
    </x:row>
    <x:row r="60">
      <x:c r="A60" s="26"/>
      <x:c r="B60" s="26"/>
    </x:row>
    <x:row r="61">
      <x:c r="A61" s="26"/>
      <x:c r="B61" s="26"/>
    </x:row>
    <x:row r="62">
      <x:c r="A62" s="26"/>
      <x:c r="B62" s="26"/>
    </x:row>
    <x:row r="63">
      <x:c r="A63" s="26"/>
      <x:c r="B63" s="26"/>
    </x:row>
    <x:row r="64">
      <x:c r="A64" s="26"/>
      <x:c r="B64" s="26"/>
    </x:row>
    <x:row r="65">
      <x:c r="A65" s="26"/>
      <x:c r="B65" s="26"/>
    </x:row>
    <x:row r="66">
      <x:c r="A66" s="26"/>
      <x:c r="B66" s="26"/>
    </x:row>
    <x:row r="67">
      <x:c r="A67" s="26"/>
      <x:c r="B67" s="26"/>
    </x:row>
    <x:row r="68">
      <x:c r="A68" s="26"/>
      <x:c r="B68" s="26"/>
    </x:row>
    <x:row r="69">
      <x:c r="A69" s="26"/>
      <x:c r="B69" s="26"/>
    </x:row>
    <x:row r="70">
      <x:c r="A70" s="26"/>
      <x:c r="B70" s="26"/>
    </x:row>
    <x:row r="71">
      <x:c r="A71" s="26"/>
      <x:c r="B71" s="26"/>
    </x:row>
    <x:row r="72">
      <x:c r="A72" s="26"/>
      <x:c r="B72" s="26"/>
    </x:row>
    <x:row r="73">
      <x:c r="A73" s="26"/>
      <x:c r="B73" s="26"/>
    </x:row>
    <x:row r="74">
      <x:c r="A74" s="26"/>
      <x:c r="B74" s="26"/>
    </x:row>
    <x:row r="75">
      <x:c r="A75" s="26"/>
      <x:c r="B75" s="26"/>
    </x:row>
  </x:sheetData>
  <x:pageMargins left="0.7" right="0.7" top="0.75" bottom="0.75" header="0.3" footer="0.3"/>
</x:worksheet>
</file>